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dgeno.sharepoint.com/sites/NorskBridgeforbund/Delte dokumenter/General/Administrasjon/Regnskap/Budsjett/Budsjett 2025/"/>
    </mc:Choice>
  </mc:AlternateContent>
  <xr:revisionPtr revIDLastSave="1454" documentId="8_{24D53FBD-861D-4957-879E-2FB8455DDDA5}" xr6:coauthVersionLast="47" xr6:coauthVersionMax="47" xr10:uidLastSave="{C9480551-50F6-43EA-8634-85F63BC93B15}"/>
  <bookViews>
    <workbookView xWindow="-108" yWindow="-108" windowWidth="23256" windowHeight="12456" firstSheet="3" activeTab="3" xr2:uid="{00000000-000D-0000-FFFF-FFFF00000000}"/>
  </bookViews>
  <sheets>
    <sheet name="Budsjett 2025" sheetId="2" r:id="rId1"/>
    <sheet name="Turneringer" sheetId="3" r:id="rId2"/>
    <sheet name="Festivalen" sheetId="6" r:id="rId3"/>
    <sheet name="Rekruttering 2025" sheetId="18" r:id="rId4"/>
    <sheet name="BfA" sheetId="5" r:id="rId5"/>
    <sheet name="Internasjonalt2025" sheetId="13" r:id="rId6"/>
    <sheet name="Norsk Skolebridge 25" sheetId="19" r:id="rId7"/>
    <sheet name="Serviceavgift" sheetId="11" r:id="rId8"/>
    <sheet name="IT" sheetId="20" r:id="rId9"/>
    <sheet name="Lønnsberegning" sheetId="12" r:id="rId10"/>
    <sheet name="Barne- og ungdomsaktiviteter" sheetId="17" r:id="rId11"/>
    <sheet name="Rekruttering 2024" sheetId="15" r:id="rId12"/>
    <sheet name="Norsk Skolebridge 23-24" sheetId="16" r:id="rId13"/>
    <sheet name="Rekruttering2023" sheetId="14" r:id="rId14"/>
  </sheets>
  <externalReferences>
    <externalReference r:id="rId15"/>
  </externalReferences>
  <definedNames>
    <definedName name="_xlnm.Print_Area" localSheetId="0">'Budsjett 2025'!$A$2:$D$119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N3" i="11"/>
  <c r="C4" i="20" l="1"/>
  <c r="C5" i="20"/>
  <c r="C6" i="20"/>
  <c r="C3" i="20"/>
  <c r="B6" i="20"/>
  <c r="B5" i="2"/>
  <c r="B9" i="12" l="1"/>
  <c r="B7" i="12"/>
  <c r="B8" i="12"/>
  <c r="B29" i="3" l="1"/>
  <c r="B47" i="3"/>
  <c r="B103" i="2" l="1"/>
  <c r="A103" i="2"/>
  <c r="B98" i="2"/>
  <c r="F72" i="18"/>
  <c r="E71" i="18"/>
  <c r="E92" i="18"/>
  <c r="E72" i="18" l="1"/>
  <c r="G72" i="18" s="1"/>
  <c r="A102" i="2" l="1"/>
  <c r="A101" i="2"/>
  <c r="A100" i="2"/>
  <c r="B48" i="2"/>
  <c r="E66" i="18"/>
  <c r="E95" i="18" l="1"/>
  <c r="E117" i="18"/>
  <c r="E116" i="18"/>
  <c r="E115" i="18"/>
  <c r="E113" i="18"/>
  <c r="F112" i="18"/>
  <c r="F111" i="18"/>
  <c r="F110" i="18"/>
  <c r="E105" i="18"/>
  <c r="F104" i="18"/>
  <c r="F106" i="18" s="1"/>
  <c r="E103" i="18"/>
  <c r="F96" i="18"/>
  <c r="E96" i="18"/>
  <c r="B52" i="2"/>
  <c r="B14" i="5"/>
  <c r="B7" i="5"/>
  <c r="B21" i="5"/>
  <c r="B108" i="2"/>
  <c r="B22" i="2"/>
  <c r="B21" i="19"/>
  <c r="B23" i="19" s="1"/>
  <c r="C20" i="19"/>
  <c r="C19" i="19"/>
  <c r="C17" i="19"/>
  <c r="C16" i="19"/>
  <c r="C15" i="19"/>
  <c r="C14" i="19"/>
  <c r="C13" i="19"/>
  <c r="C12" i="19"/>
  <c r="C11" i="19"/>
  <c r="C10" i="19"/>
  <c r="B7" i="19"/>
  <c r="C5" i="19"/>
  <c r="C4" i="19"/>
  <c r="C3" i="19"/>
  <c r="C2" i="19"/>
  <c r="C7" i="19" s="1"/>
  <c r="B63" i="2"/>
  <c r="B60" i="2"/>
  <c r="B41" i="13"/>
  <c r="B66" i="2" s="1"/>
  <c r="B40" i="13"/>
  <c r="B62" i="2" s="1"/>
  <c r="B39" i="13"/>
  <c r="B61" i="2" s="1"/>
  <c r="B38" i="13"/>
  <c r="B37" i="13"/>
  <c r="B67" i="2" s="1"/>
  <c r="B36" i="13"/>
  <c r="B65" i="2" s="1"/>
  <c r="B35" i="13"/>
  <c r="B34" i="13"/>
  <c r="B64" i="2" s="1"/>
  <c r="A28" i="13"/>
  <c r="B26" i="13"/>
  <c r="B28" i="13" s="1"/>
  <c r="B22" i="13"/>
  <c r="B68" i="2" s="1"/>
  <c r="B15" i="13"/>
  <c r="B29" i="13" s="1"/>
  <c r="E106" i="18" l="1"/>
  <c r="G106" i="18" s="1"/>
  <c r="B106" i="2" s="1"/>
  <c r="G96" i="18"/>
  <c r="B102" i="2" s="1"/>
  <c r="E118" i="18"/>
  <c r="B55" i="2" s="1"/>
  <c r="F118" i="18"/>
  <c r="B19" i="2" s="1"/>
  <c r="C21" i="19"/>
  <c r="C23" i="19" s="1"/>
  <c r="B30" i="13"/>
  <c r="B31" i="13" s="1"/>
  <c r="B42" i="13"/>
  <c r="B16" i="2"/>
  <c r="B53" i="2"/>
  <c r="B15" i="6"/>
  <c r="B50" i="2"/>
  <c r="B49" i="2"/>
  <c r="B39" i="3"/>
  <c r="B14" i="2" s="1"/>
  <c r="B38" i="3"/>
  <c r="B37" i="3"/>
  <c r="B36" i="3"/>
  <c r="B24" i="3"/>
  <c r="B13" i="2" s="1"/>
  <c r="B19" i="3"/>
  <c r="B18" i="3"/>
  <c r="B21" i="3" s="1"/>
  <c r="B12" i="2" s="1"/>
  <c r="B17" i="3"/>
  <c r="B16" i="3"/>
  <c r="B15" i="3"/>
  <c r="B14" i="3"/>
  <c r="B8" i="3"/>
  <c r="B7" i="3"/>
  <c r="B6" i="3"/>
  <c r="B5" i="3"/>
  <c r="B10" i="3" s="1"/>
  <c r="B11" i="2" s="1"/>
  <c r="B39" i="6"/>
  <c r="B10" i="6"/>
  <c r="B9" i="6"/>
  <c r="B8" i="6"/>
  <c r="B7" i="6"/>
  <c r="B6" i="6"/>
  <c r="B5" i="6"/>
  <c r="B4" i="6"/>
  <c r="B3" i="6"/>
  <c r="B2" i="6"/>
  <c r="A87" i="2"/>
  <c r="A86" i="2"/>
  <c r="A85" i="2"/>
  <c r="A84" i="2"/>
  <c r="F93" i="18"/>
  <c r="E93" i="18"/>
  <c r="E86" i="18"/>
  <c r="E81" i="18"/>
  <c r="F87" i="18"/>
  <c r="F78" i="18"/>
  <c r="E77" i="18"/>
  <c r="E76" i="18"/>
  <c r="E75" i="18"/>
  <c r="E74" i="18"/>
  <c r="E67" i="18"/>
  <c r="E65" i="18"/>
  <c r="E64" i="18"/>
  <c r="E62" i="18"/>
  <c r="G62" i="18" s="1"/>
  <c r="B90" i="2" s="1"/>
  <c r="E57" i="18"/>
  <c r="G57" i="18" s="1"/>
  <c r="B100" i="2" s="1"/>
  <c r="E53" i="18"/>
  <c r="E51" i="18"/>
  <c r="E47" i="18"/>
  <c r="D46" i="18"/>
  <c r="E46" i="18" s="1"/>
  <c r="F45" i="18"/>
  <c r="F48" i="18" s="1"/>
  <c r="D42" i="18"/>
  <c r="E42" i="18" s="1"/>
  <c r="E41" i="18"/>
  <c r="F40" i="18"/>
  <c r="E39" i="18"/>
  <c r="F38" i="18"/>
  <c r="F37" i="18"/>
  <c r="F36" i="18"/>
  <c r="E35" i="18"/>
  <c r="E34" i="18"/>
  <c r="D31" i="18"/>
  <c r="E31" i="18" s="1"/>
  <c r="F30" i="18"/>
  <c r="F29" i="18"/>
  <c r="F28" i="18"/>
  <c r="F27" i="18"/>
  <c r="F26" i="18"/>
  <c r="E25" i="18"/>
  <c r="E24" i="18"/>
  <c r="D21" i="18"/>
  <c r="E21" i="18" s="1"/>
  <c r="F20" i="18"/>
  <c r="F19" i="18"/>
  <c r="F18" i="18"/>
  <c r="F17" i="18"/>
  <c r="F16" i="18"/>
  <c r="E15" i="18"/>
  <c r="E14" i="18"/>
  <c r="E8" i="18"/>
  <c r="E12" i="18" s="1"/>
  <c r="G12" i="18" s="1"/>
  <c r="B84" i="2" s="1"/>
  <c r="B82" i="2"/>
  <c r="B59" i="2"/>
  <c r="B7" i="2"/>
  <c r="L3" i="11"/>
  <c r="K3" i="11"/>
  <c r="J3" i="11"/>
  <c r="F3" i="11"/>
  <c r="E48" i="18" l="1"/>
  <c r="E54" i="18"/>
  <c r="G54" i="18" s="1"/>
  <c r="B94" i="2" s="1"/>
  <c r="E78" i="18"/>
  <c r="G78" i="18" s="1"/>
  <c r="B91" i="2" s="1"/>
  <c r="G118" i="18"/>
  <c r="G93" i="18"/>
  <c r="B101" i="2" s="1"/>
  <c r="F32" i="18"/>
  <c r="E43" i="18"/>
  <c r="F22" i="18"/>
  <c r="G48" i="18"/>
  <c r="B88" i="2" s="1"/>
  <c r="E32" i="18"/>
  <c r="E22" i="18"/>
  <c r="G22" i="18" s="1"/>
  <c r="B85" i="2" s="1"/>
  <c r="F43" i="18"/>
  <c r="E87" i="18"/>
  <c r="G87" i="18" s="1"/>
  <c r="B93" i="2" s="1"/>
  <c r="E68" i="18"/>
  <c r="G68" i="18" s="1"/>
  <c r="B97" i="2" s="1"/>
  <c r="B42" i="6"/>
  <c r="B117" i="2"/>
  <c r="C117" i="2"/>
  <c r="C82" i="2"/>
  <c r="B72" i="2"/>
  <c r="B46" i="2"/>
  <c r="B57" i="2"/>
  <c r="C57" i="2"/>
  <c r="C46" i="2"/>
  <c r="B40" i="2"/>
  <c r="C40" i="2"/>
  <c r="B30" i="2"/>
  <c r="B34" i="2"/>
  <c r="C34" i="2"/>
  <c r="C30" i="2"/>
  <c r="B24" i="2"/>
  <c r="C24" i="2"/>
  <c r="C20" i="2"/>
  <c r="B9" i="2"/>
  <c r="C9" i="2"/>
  <c r="B16" i="17"/>
  <c r="B15" i="17"/>
  <c r="B13" i="17"/>
  <c r="B12" i="17"/>
  <c r="B11" i="17"/>
  <c r="B10" i="17"/>
  <c r="B9" i="17"/>
  <c r="B8" i="17"/>
  <c r="B7" i="17"/>
  <c r="B6" i="17"/>
  <c r="B5" i="17"/>
  <c r="B4" i="17"/>
  <c r="E101" i="15"/>
  <c r="D55" i="2"/>
  <c r="D19" i="2"/>
  <c r="D106" i="2"/>
  <c r="D96" i="2"/>
  <c r="D99" i="2"/>
  <c r="D93" i="2"/>
  <c r="D91" i="2"/>
  <c r="D97" i="2"/>
  <c r="D94" i="2"/>
  <c r="D88" i="2"/>
  <c r="D87" i="2"/>
  <c r="D86" i="2"/>
  <c r="D85" i="2"/>
  <c r="D84" i="2"/>
  <c r="E115" i="15"/>
  <c r="E114" i="15"/>
  <c r="E113" i="15"/>
  <c r="E112" i="15"/>
  <c r="E111" i="15"/>
  <c r="E116" i="15" s="1"/>
  <c r="F110" i="15"/>
  <c r="F109" i="15"/>
  <c r="F116" i="15" s="1"/>
  <c r="F105" i="15"/>
  <c r="E104" i="15"/>
  <c r="E103" i="15"/>
  <c r="F102" i="15"/>
  <c r="E105" i="15"/>
  <c r="G105" i="15" s="1"/>
  <c r="F91" i="15"/>
  <c r="E89" i="15"/>
  <c r="E88" i="15"/>
  <c r="E87" i="15"/>
  <c r="E86" i="15"/>
  <c r="E91" i="15" s="1"/>
  <c r="G91" i="15" s="1"/>
  <c r="E85" i="15"/>
  <c r="E84" i="15"/>
  <c r="E81" i="15"/>
  <c r="E80" i="15"/>
  <c r="E79" i="15"/>
  <c r="E78" i="15"/>
  <c r="E77" i="15"/>
  <c r="E82" i="15" s="1"/>
  <c r="G82" i="15" s="1"/>
  <c r="F76" i="15"/>
  <c r="F82" i="15" s="1"/>
  <c r="F74" i="15"/>
  <c r="E73" i="15"/>
  <c r="E72" i="15"/>
  <c r="E71" i="15"/>
  <c r="E70" i="15"/>
  <c r="E74" i="15" s="1"/>
  <c r="G74" i="15" s="1"/>
  <c r="E67" i="15"/>
  <c r="E66" i="15"/>
  <c r="E65" i="15"/>
  <c r="E68" i="15" s="1"/>
  <c r="G68" i="15" s="1"/>
  <c r="E63" i="15"/>
  <c r="G63" i="15" s="1"/>
  <c r="D90" i="2" s="1"/>
  <c r="E58" i="15"/>
  <c r="E57" i="15"/>
  <c r="E56" i="15"/>
  <c r="E59" i="15" s="1"/>
  <c r="G59" i="15" s="1"/>
  <c r="E53" i="15"/>
  <c r="E51" i="15"/>
  <c r="E54" i="15" s="1"/>
  <c r="G54" i="15" s="1"/>
  <c r="E47" i="15"/>
  <c r="D46" i="15"/>
  <c r="E46" i="15" s="1"/>
  <c r="E48" i="15" s="1"/>
  <c r="G48" i="15" s="1"/>
  <c r="F45" i="15"/>
  <c r="F48" i="15" s="1"/>
  <c r="F43" i="15"/>
  <c r="D42" i="15"/>
  <c r="E42" i="15" s="1"/>
  <c r="E41" i="15"/>
  <c r="E43" i="15" s="1"/>
  <c r="G43" i="15" s="1"/>
  <c r="F40" i="15"/>
  <c r="E39" i="15"/>
  <c r="F38" i="15"/>
  <c r="F37" i="15"/>
  <c r="F36" i="15"/>
  <c r="E35" i="15"/>
  <c r="E34" i="15"/>
  <c r="F32" i="15"/>
  <c r="D31" i="15"/>
  <c r="E31" i="15" s="1"/>
  <c r="E32" i="15" s="1"/>
  <c r="G32" i="15" s="1"/>
  <c r="F30" i="15"/>
  <c r="F29" i="15"/>
  <c r="F28" i="15"/>
  <c r="F27" i="15"/>
  <c r="F26" i="15"/>
  <c r="E25" i="15"/>
  <c r="E24" i="15"/>
  <c r="F22" i="15"/>
  <c r="D21" i="15"/>
  <c r="E21" i="15" s="1"/>
  <c r="E22" i="15" s="1"/>
  <c r="G22" i="15" s="1"/>
  <c r="F20" i="15"/>
  <c r="F19" i="15"/>
  <c r="F18" i="15"/>
  <c r="F17" i="15"/>
  <c r="F16" i="15"/>
  <c r="E15" i="15"/>
  <c r="E14" i="15"/>
  <c r="E8" i="15"/>
  <c r="E12" i="15" s="1"/>
  <c r="G12" i="15" s="1"/>
  <c r="G43" i="18" l="1"/>
  <c r="B87" i="2" s="1"/>
  <c r="G32" i="18"/>
  <c r="C110" i="2"/>
  <c r="C26" i="2"/>
  <c r="C36" i="2" s="1"/>
  <c r="B4" i="15"/>
  <c r="C4" i="15" s="1"/>
  <c r="D104" i="2"/>
  <c r="G116" i="15"/>
  <c r="H48" i="15"/>
  <c r="G24" i="3"/>
  <c r="D13" i="2" s="1"/>
  <c r="G19" i="3"/>
  <c r="G18" i="3"/>
  <c r="G17" i="3"/>
  <c r="G16" i="3"/>
  <c r="G15" i="3"/>
  <c r="G14" i="3"/>
  <c r="G8" i="3"/>
  <c r="G7" i="3"/>
  <c r="G6" i="3"/>
  <c r="G5" i="3"/>
  <c r="G4" i="3"/>
  <c r="G3" i="3"/>
  <c r="G2" i="3"/>
  <c r="C112" i="2" l="1"/>
  <c r="C119" i="2" s="1"/>
  <c r="B4" i="18"/>
  <c r="C4" i="18" s="1"/>
  <c r="B86" i="2"/>
  <c r="B104" i="2" s="1"/>
  <c r="B110" i="2" s="1"/>
  <c r="H48" i="18"/>
  <c r="G21" i="3"/>
  <c r="D12" i="2" s="1"/>
  <c r="G10" i="3"/>
  <c r="D11" i="2" s="1"/>
  <c r="D108" i="2"/>
  <c r="D22" i="2"/>
  <c r="D24" i="2" s="1"/>
  <c r="D68" i="2"/>
  <c r="D67" i="2"/>
  <c r="D66" i="2"/>
  <c r="D65" i="2"/>
  <c r="D64" i="2"/>
  <c r="D63" i="2"/>
  <c r="D62" i="2"/>
  <c r="D61" i="2"/>
  <c r="D60" i="2"/>
  <c r="D77" i="2"/>
  <c r="D72" i="2" l="1"/>
  <c r="D8" i="2"/>
  <c r="D7" i="2"/>
  <c r="I3" i="11"/>
  <c r="H3" i="11"/>
  <c r="G3" i="11"/>
  <c r="D5" i="2"/>
  <c r="D117" i="2"/>
  <c r="D82" i="2"/>
  <c r="D30" i="2"/>
  <c r="D34" i="2"/>
  <c r="D46" i="2"/>
  <c r="D50" i="2"/>
  <c r="D49" i="2"/>
  <c r="D48" i="2"/>
  <c r="E39" i="6"/>
  <c r="D53" i="2" s="1"/>
  <c r="E3" i="6"/>
  <c r="E4" i="6"/>
  <c r="E5" i="6"/>
  <c r="E6" i="6"/>
  <c r="E7" i="6"/>
  <c r="E8" i="6"/>
  <c r="E9" i="6"/>
  <c r="E10" i="6"/>
  <c r="E2" i="6"/>
  <c r="B25" i="5"/>
  <c r="B24" i="5"/>
  <c r="B15" i="2" s="1"/>
  <c r="B20" i="2" s="1"/>
  <c r="B26" i="2" s="1"/>
  <c r="B36" i="2" s="1"/>
  <c r="B112" i="2" s="1"/>
  <c r="B119" i="2" s="1"/>
  <c r="K25" i="3"/>
  <c r="K19" i="3"/>
  <c r="K18" i="3"/>
  <c r="K17" i="3"/>
  <c r="K16" i="3"/>
  <c r="K15" i="3"/>
  <c r="K14" i="3"/>
  <c r="K8" i="3"/>
  <c r="K7" i="3"/>
  <c r="K6" i="3"/>
  <c r="K5" i="3"/>
  <c r="K4" i="3"/>
  <c r="K3" i="3"/>
  <c r="K2" i="3"/>
  <c r="E100" i="14"/>
  <c r="E99" i="14"/>
  <c r="E98" i="14"/>
  <c r="E101" i="14" s="1"/>
  <c r="G101" i="14" s="1"/>
  <c r="E93" i="14"/>
  <c r="E96" i="14" s="1"/>
  <c r="G96" i="14" s="1"/>
  <c r="E91" i="14"/>
  <c r="G91" i="14" s="1"/>
  <c r="E90" i="14"/>
  <c r="E89" i="14"/>
  <c r="E88" i="14"/>
  <c r="E87" i="14"/>
  <c r="E84" i="14"/>
  <c r="E83" i="14"/>
  <c r="E85" i="14" s="1"/>
  <c r="G85" i="14" s="1"/>
  <c r="E82" i="14"/>
  <c r="E81" i="14"/>
  <c r="E79" i="14"/>
  <c r="F77" i="14"/>
  <c r="F76" i="14"/>
  <c r="E75" i="14"/>
  <c r="E77" i="14" s="1"/>
  <c r="G77" i="14" s="1"/>
  <c r="E74" i="14"/>
  <c r="E72" i="14"/>
  <c r="E71" i="14"/>
  <c r="E69" i="14"/>
  <c r="G69" i="14" s="1"/>
  <c r="E68" i="14"/>
  <c r="E67" i="14"/>
  <c r="G65" i="14"/>
  <c r="E65" i="14"/>
  <c r="E55" i="14"/>
  <c r="E53" i="14"/>
  <c r="E56" i="14" s="1"/>
  <c r="G56" i="14" s="1"/>
  <c r="E50" i="14"/>
  <c r="E49" i="14"/>
  <c r="E48" i="14"/>
  <c r="E47" i="14"/>
  <c r="F46" i="14"/>
  <c r="F45" i="14"/>
  <c r="F50" i="14" s="1"/>
  <c r="F42" i="14"/>
  <c r="E42" i="14"/>
  <c r="D42" i="14"/>
  <c r="F41" i="14"/>
  <c r="F40" i="14"/>
  <c r="F39" i="14"/>
  <c r="F38" i="14"/>
  <c r="F43" i="14" s="1"/>
  <c r="F37" i="14"/>
  <c r="E36" i="14"/>
  <c r="E35" i="14"/>
  <c r="E34" i="14"/>
  <c r="E43" i="14" s="1"/>
  <c r="F31" i="14"/>
  <c r="F32" i="14" s="1"/>
  <c r="F30" i="14"/>
  <c r="F29" i="14"/>
  <c r="F28" i="14"/>
  <c r="F27" i="14"/>
  <c r="E26" i="14"/>
  <c r="E25" i="14"/>
  <c r="C25" i="14"/>
  <c r="E24" i="14"/>
  <c r="E32" i="14" s="1"/>
  <c r="G32" i="14" s="1"/>
  <c r="C24" i="14"/>
  <c r="F21" i="14"/>
  <c r="F20" i="14"/>
  <c r="F19" i="14"/>
  <c r="F18" i="14"/>
  <c r="F22" i="14" s="1"/>
  <c r="F17" i="14"/>
  <c r="E16" i="14"/>
  <c r="E15" i="14"/>
  <c r="E22" i="14" s="1"/>
  <c r="G22" i="14" s="1"/>
  <c r="E13" i="14"/>
  <c r="G13" i="14" s="1"/>
  <c r="E8" i="14"/>
  <c r="E15" i="6" l="1"/>
  <c r="D16" i="2" s="1"/>
  <c r="D20" i="2" s="1"/>
  <c r="K21" i="3"/>
  <c r="K10" i="3"/>
  <c r="D9" i="2"/>
  <c r="D57" i="2"/>
  <c r="G50" i="14"/>
  <c r="B4" i="14" s="1"/>
  <c r="C4" i="14" s="1"/>
  <c r="G43" i="14"/>
  <c r="I43" i="14" s="1"/>
  <c r="E42" i="6" l="1"/>
  <c r="D26" i="2"/>
  <c r="D36" i="2" s="1"/>
  <c r="H39" i="6"/>
  <c r="H10" i="6"/>
  <c r="H9" i="6"/>
  <c r="H8" i="6"/>
  <c r="H7" i="6"/>
  <c r="H6" i="6"/>
  <c r="H5" i="6"/>
  <c r="H4" i="6"/>
  <c r="H3" i="6"/>
  <c r="H2" i="6"/>
  <c r="F25" i="5"/>
  <c r="F24" i="5"/>
  <c r="F21" i="5"/>
  <c r="F14" i="5"/>
  <c r="F7" i="5"/>
  <c r="H15" i="6" l="1"/>
  <c r="H42" i="6" s="1"/>
  <c r="L42" i="13" l="1"/>
  <c r="L41" i="13"/>
  <c r="L40" i="13"/>
  <c r="L39" i="13"/>
  <c r="L38" i="13"/>
  <c r="L37" i="13"/>
  <c r="L36" i="13"/>
  <c r="L35" i="13"/>
  <c r="K28" i="13"/>
  <c r="L26" i="13"/>
  <c r="L28" i="13" s="1"/>
  <c r="L16" i="13"/>
  <c r="L22" i="13" s="1"/>
  <c r="L30" i="13" s="1"/>
  <c r="L13" i="13"/>
  <c r="L12" i="13"/>
  <c r="L11" i="13"/>
  <c r="L10" i="13"/>
  <c r="L9" i="13"/>
  <c r="L8" i="13"/>
  <c r="L7" i="13"/>
  <c r="L6" i="13"/>
  <c r="L5" i="13"/>
  <c r="L4" i="13"/>
  <c r="L43" i="13" l="1"/>
  <c r="L14" i="13"/>
  <c r="L29" i="13" s="1"/>
  <c r="L31" i="13" s="1"/>
  <c r="B10" i="12" l="1"/>
  <c r="C9" i="12"/>
  <c r="D9" i="12" s="1"/>
  <c r="C8" i="12"/>
  <c r="D8" i="12" s="1"/>
  <c r="E8" i="12" s="1"/>
  <c r="C7" i="12"/>
  <c r="D7" i="12" s="1"/>
  <c r="C6" i="12"/>
  <c r="D6" i="12" s="1"/>
  <c r="E6" i="12" s="1"/>
  <c r="C5" i="12"/>
  <c r="D5" i="12" s="1"/>
  <c r="E5" i="12" s="1"/>
  <c r="C4" i="12"/>
  <c r="C3" i="12"/>
  <c r="K25" i="6"/>
  <c r="K39" i="6" s="1"/>
  <c r="K3" i="6"/>
  <c r="K4" i="6"/>
  <c r="K5" i="6"/>
  <c r="K6" i="6"/>
  <c r="K7" i="6"/>
  <c r="K8" i="6"/>
  <c r="K9" i="6"/>
  <c r="K10" i="6"/>
  <c r="K2" i="6"/>
  <c r="I25" i="5"/>
  <c r="I24" i="5"/>
  <c r="I21" i="5"/>
  <c r="I14" i="5"/>
  <c r="I7" i="5"/>
  <c r="L7" i="5"/>
  <c r="L14" i="5"/>
  <c r="L21" i="5"/>
  <c r="L24" i="5"/>
  <c r="L25" i="5"/>
  <c r="O21" i="5"/>
  <c r="O14" i="5"/>
  <c r="O7" i="5"/>
  <c r="O39" i="6"/>
  <c r="O15" i="6"/>
  <c r="O25" i="5"/>
  <c r="O24" i="5"/>
  <c r="P39" i="6"/>
  <c r="P15" i="6"/>
  <c r="P42" i="6" l="1"/>
  <c r="L26" i="5"/>
  <c r="O42" i="6"/>
  <c r="K15" i="6"/>
  <c r="K42" i="6" s="1"/>
  <c r="E9" i="12"/>
  <c r="B14" i="17" s="1"/>
  <c r="B17" i="17" s="1"/>
  <c r="E7" i="12"/>
  <c r="C10" i="12"/>
  <c r="D4" i="12"/>
  <c r="E4" i="12" s="1"/>
  <c r="D3" i="12"/>
  <c r="D10" i="12" l="1"/>
  <c r="E3" i="12"/>
  <c r="E10" i="12" s="1"/>
  <c r="B14" i="12" l="1"/>
  <c r="D38" i="2" l="1"/>
  <c r="D40" i="2" s="1"/>
  <c r="D110" i="2" l="1"/>
  <c r="D112" i="2" s="1"/>
  <c r="D119" i="2" s="1"/>
</calcChain>
</file>

<file path=xl/sharedStrings.xml><?xml version="1.0" encoding="utf-8"?>
<sst xmlns="http://schemas.openxmlformats.org/spreadsheetml/2006/main" count="1331" uniqueCount="778">
  <si>
    <t>Norsk Bridgeforbund</t>
  </si>
  <si>
    <t>Budsjett 2025</t>
  </si>
  <si>
    <t>Tekst</t>
  </si>
  <si>
    <t>Budsjett 2025 ihht øk.plan</t>
  </si>
  <si>
    <t>Budsjett 2024</t>
  </si>
  <si>
    <t>Kommentar 2025</t>
  </si>
  <si>
    <t>Kommentar 2024</t>
  </si>
  <si>
    <t>Medlemskontingent</t>
  </si>
  <si>
    <t>6890+800+400</t>
  </si>
  <si>
    <t>7400+500+250</t>
  </si>
  <si>
    <t>Serviceavgift</t>
  </si>
  <si>
    <t>Øker til 20 kr (fra 17) - se "Serviceavgift"</t>
  </si>
  <si>
    <t>Klubbkontingent</t>
  </si>
  <si>
    <t>285 klubber full sats</t>
  </si>
  <si>
    <t>Spillerlisens</t>
  </si>
  <si>
    <t>Sum kontingenter og serviceavgifter</t>
  </si>
  <si>
    <t>Inntekt Seriemesterskapet</t>
  </si>
  <si>
    <t>Inntekt NM for klubblag</t>
  </si>
  <si>
    <t>Inntekt NM par</t>
  </si>
  <si>
    <t>Inntekt NM Dame- og Veteranlag</t>
  </si>
  <si>
    <t>Bridge for alle</t>
  </si>
  <si>
    <t>Inntekt Norsk Bridgefestival</t>
  </si>
  <si>
    <t>Marit Sveaas IBT</t>
  </si>
  <si>
    <t>Inntekter Funbridge + annen onlinespilling</t>
  </si>
  <si>
    <t>NM junior</t>
  </si>
  <si>
    <t>Sum turneringsinntekter</t>
  </si>
  <si>
    <t>Inntekt Norsk Skolebridge</t>
  </si>
  <si>
    <t>Etableringsstøtte Bufdir</t>
  </si>
  <si>
    <t>Sum inntekt rekrutteringsaktiviteter</t>
  </si>
  <si>
    <t>Sum Driftsinntekter</t>
  </si>
  <si>
    <t>Diverse sponsorinntekter</t>
  </si>
  <si>
    <t>Diverse inntekter</t>
  </si>
  <si>
    <t>Sum annen inntekt</t>
  </si>
  <si>
    <t>Inntekt salg av bridgemateriell</t>
  </si>
  <si>
    <t>Varekostnad bridgemateriell</t>
  </si>
  <si>
    <t>Bruttofortjeneste varesalg</t>
  </si>
  <si>
    <t>Totale Inntekter NBF</t>
  </si>
  <si>
    <t>Lønn administrasjon</t>
  </si>
  <si>
    <t>Beregnet tallene - øk.plan inkluderer Marianne som</t>
  </si>
  <si>
    <t>Lønn SJL ligger i festival</t>
  </si>
  <si>
    <t>Diverse lønn</t>
  </si>
  <si>
    <t>ligger i Norsk Skolebridge</t>
  </si>
  <si>
    <t>Sum lønn og godtgjørelser</t>
  </si>
  <si>
    <t>Regnskap og revisjonshonorar</t>
  </si>
  <si>
    <t>Fordeling av fremmedytelser ikke spesifisert i Øk.plan</t>
  </si>
  <si>
    <t>IT - forvaltning</t>
  </si>
  <si>
    <t>Kan vi forhandle ned regnskap allerede i 2025?</t>
  </si>
  <si>
    <t>Inkl nye hjemmesider kretser og klubber</t>
  </si>
  <si>
    <t>IT - utvikling</t>
  </si>
  <si>
    <t>Tallet er altfor lavt om vi skal bytte medlemssystem</t>
  </si>
  <si>
    <t>Kommunikasjon</t>
  </si>
  <si>
    <t>IT vanskelig å estimere, avhenger veldig av utvikling</t>
  </si>
  <si>
    <t>Sum Fremmedytelser</t>
  </si>
  <si>
    <t>Seriemesterskapet</t>
  </si>
  <si>
    <t>NM for klubblag</t>
  </si>
  <si>
    <t>NM par</t>
  </si>
  <si>
    <t>NM Dame- og veteranlag</t>
  </si>
  <si>
    <t>Bridge for Alle</t>
  </si>
  <si>
    <t>Norsk Bridgefestival</t>
  </si>
  <si>
    <t>Kostnader online turneringer</t>
  </si>
  <si>
    <t>Sum turneringskostnader</t>
  </si>
  <si>
    <t>Kontingent EBL, WBF</t>
  </si>
  <si>
    <t>50% økning i WBF - basert på 7200 tellende i jan</t>
  </si>
  <si>
    <t>U26 Åpen</t>
  </si>
  <si>
    <t>U21 Åpen</t>
  </si>
  <si>
    <t>U26 Jenter</t>
  </si>
  <si>
    <t>Damer</t>
  </si>
  <si>
    <t>Åpen klasse</t>
  </si>
  <si>
    <t>Veteran</t>
  </si>
  <si>
    <t>U16 Åpen</t>
  </si>
  <si>
    <t>Mix</t>
  </si>
  <si>
    <t>Andre aktiviteter</t>
  </si>
  <si>
    <t>Sportssjef/landslagsledelse/trenere</t>
  </si>
  <si>
    <t>Overført fra poenghøsten</t>
  </si>
  <si>
    <t>Disponible midler</t>
  </si>
  <si>
    <t>Sum internasjonal virksomhet</t>
  </si>
  <si>
    <t>Kontorkostnader/administrasjon</t>
  </si>
  <si>
    <t>Trygg og juniorutvalg ikke i Øk.plan - økning pga dyrtid?</t>
  </si>
  <si>
    <t>Trygg!-rådgiver</t>
  </si>
  <si>
    <t>10000 i lønn til 2 rådgivere + materiell, møter etc</t>
  </si>
  <si>
    <t>Juniorutvalget</t>
  </si>
  <si>
    <t>Juniorkveld festival + diverse</t>
  </si>
  <si>
    <t>Sum driftskostnader</t>
  </si>
  <si>
    <t>Styrehonorar/møtegodtgjørelse</t>
  </si>
  <si>
    <t>Kostnader styremøter</t>
  </si>
  <si>
    <t>Bridgeting/kretsledermøte/org.dager</t>
  </si>
  <si>
    <t>Sum kostnader styre/utvalg</t>
  </si>
  <si>
    <t>Temakvelder</t>
  </si>
  <si>
    <t>Skolemesterskap</t>
  </si>
  <si>
    <t>Rekruttpulje NM for damelag</t>
  </si>
  <si>
    <t>Bridgelærerutdanning</t>
  </si>
  <si>
    <t>Kampanjemateriell</t>
  </si>
  <si>
    <t>Sommerleir nasjonalt og regionalt</t>
  </si>
  <si>
    <t>Nybegynnersimultan</t>
  </si>
  <si>
    <t>Bridging school</t>
  </si>
  <si>
    <t>SoMe og innholdsproduksjon</t>
  </si>
  <si>
    <t>Snu utviklingen - klubber i fare</t>
  </si>
  <si>
    <t>Fra kurs til klubb</t>
  </si>
  <si>
    <t>Bridge + poker = sant</t>
  </si>
  <si>
    <t>Sum rekruttering</t>
  </si>
  <si>
    <t>Toppidrett bridge</t>
  </si>
  <si>
    <t xml:space="preserve"> 2 samlinger</t>
  </si>
  <si>
    <t>Samlinger og materiell, ikke lønn lærer</t>
  </si>
  <si>
    <t>Utgifter Norsk Skolebridge</t>
  </si>
  <si>
    <t>Totale utgifter NBF</t>
  </si>
  <si>
    <t>Resultat før finansposter</t>
  </si>
  <si>
    <t>Bankomkostninger mm</t>
  </si>
  <si>
    <t>MVA kompensasjon</t>
  </si>
  <si>
    <t>Renteinntekt/avkastning fond</t>
  </si>
  <si>
    <t>Sum finansposter</t>
  </si>
  <si>
    <t>Resultat etter finansposter</t>
  </si>
  <si>
    <t>SM 2025</t>
  </si>
  <si>
    <t>SM 2024</t>
  </si>
  <si>
    <t>SM 2023</t>
  </si>
  <si>
    <t>1. div.</t>
  </si>
  <si>
    <t>12 lag, 2x4 spillere â kr 1000</t>
  </si>
  <si>
    <t>12 lag, 2x4 spillere â kr 800</t>
  </si>
  <si>
    <t>+ekstrasp.</t>
  </si>
  <si>
    <t>Ut fra lagoppstilling</t>
  </si>
  <si>
    <t>2. div.</t>
  </si>
  <si>
    <t>36 lag, 2x4 spillere â kr 800</t>
  </si>
  <si>
    <t>36 lag, 2x4 spillere â kr 700</t>
  </si>
  <si>
    <t>3. div.</t>
  </si>
  <si>
    <t>120 lag, 2x4 spillere â kr 600</t>
  </si>
  <si>
    <t>119 lag, 2x4 spillere â kr 500</t>
  </si>
  <si>
    <t>4. div.</t>
  </si>
  <si>
    <t>171 lag, 163 betaler kr 2.400 i startkontingent, 8 kr 1.800 (spiller bare over ei helg)</t>
  </si>
  <si>
    <t>180 lag, 168 betaler kr 2.400 i startkontingent, 12 kr 1.800 (spiller bare over ei helg)</t>
  </si>
  <si>
    <t>154 lag, 135 betaler kr 2.400 i startkontingent, 19 kr 1.800 (spiller bare over ei helg)</t>
  </si>
  <si>
    <t>(Har stipulert ti lag totalt i to kretser som tenker å arrangere kun andre helg.)</t>
  </si>
  <si>
    <t>SM totalt</t>
  </si>
  <si>
    <t>En del juniorer vil føre til en liten reduksjon av beløpet</t>
  </si>
  <si>
    <t>Noen lag med mer enn fire spillere påmeldt bruker ikke fullt antall begge helger -&gt; liten reduksjon</t>
  </si>
  <si>
    <t>NM for klubblag 2025</t>
  </si>
  <si>
    <t>NM for klubblag 2023</t>
  </si>
  <si>
    <t>1. runde</t>
  </si>
  <si>
    <t>2. runde</t>
  </si>
  <si>
    <t>3. runde</t>
  </si>
  <si>
    <t>4. runde</t>
  </si>
  <si>
    <t>5. runde</t>
  </si>
  <si>
    <t>6. runde</t>
  </si>
  <si>
    <t>Totalt</t>
  </si>
  <si>
    <t>44 par er det antall par vi i utgangspunktet fakturerer for i dag (7 gratis fra NM samt tittelforsvarer og 2 fra arrangør)arrangøren</t>
  </si>
  <si>
    <t>Det blir alltid noen ekstra plasser til kretsene, men vi kan ikke budsjettere med det.</t>
  </si>
  <si>
    <t>Utgifter</t>
  </si>
  <si>
    <t>Arr.støtte 3+4</t>
  </si>
  <si>
    <t>SM</t>
  </si>
  <si>
    <t>Arr.støtte 3.000 lavere enn 2024</t>
  </si>
  <si>
    <t>Totale utgifter SM 2019 - fra regnskapsrapport september 2019</t>
  </si>
  <si>
    <t>Totale utgifter i 2022-regnskapet er 109.000</t>
  </si>
  <si>
    <t>Totale utgifter NM kl 2019 - fra regnskapsrapport september 2019</t>
  </si>
  <si>
    <t>Har anslått 100.000 i reisekostnader og 50.000 i arr.kost. Tipper at 100' er litt for lavt og 50' for høyt.</t>
  </si>
  <si>
    <t>Estimat, 5.000 opp fra Lyngdal 2018</t>
  </si>
  <si>
    <t>Utgifter SM var feilbudsjettert i 2024.</t>
  </si>
  <si>
    <t>NM dame og vet/lag samt rekrutt</t>
  </si>
  <si>
    <t>Rekrutt</t>
  </si>
  <si>
    <t>Arrangementsstøtte</t>
  </si>
  <si>
    <t>Reisestøtte - basert på 2024</t>
  </si>
  <si>
    <t>1. og 2. div 1. helg</t>
  </si>
  <si>
    <t>1. og 2. div 2. helg</t>
  </si>
  <si>
    <t>Medaljer</t>
  </si>
  <si>
    <t>Par</t>
  </si>
  <si>
    <t>SK</t>
  </si>
  <si>
    <t>Budsjett 2023</t>
  </si>
  <si>
    <t>Budsjett 2022</t>
  </si>
  <si>
    <t>Budsjett 2021</t>
  </si>
  <si>
    <t>Budsjett 2020</t>
  </si>
  <si>
    <t>Budsjett 2019</t>
  </si>
  <si>
    <t>3250 - NM Mix par</t>
  </si>
  <si>
    <t>3251 - NM Junior par</t>
  </si>
  <si>
    <t>3252 - NM Mix Lag</t>
  </si>
  <si>
    <t>3253 - IMP</t>
  </si>
  <si>
    <t>3255 - Åpent NM Lag</t>
  </si>
  <si>
    <t>3256 - NM Veteran</t>
  </si>
  <si>
    <t>3257 - NM Damer</t>
  </si>
  <si>
    <t>3259 - Patton</t>
  </si>
  <si>
    <t>3262 - NM Monrad par</t>
  </si>
  <si>
    <t>3274 - Inntekter kvelds og sideturneringer</t>
  </si>
  <si>
    <t>3400 - Inntekter Norsk Bridgefestival (kickback)</t>
  </si>
  <si>
    <t>3277 - Bankett</t>
  </si>
  <si>
    <t>Kaffe</t>
  </si>
  <si>
    <t>Sum inntekter</t>
  </si>
  <si>
    <t>5000 - Lønn administrasjonen</t>
  </si>
  <si>
    <t>5010 - Lønn festivalen</t>
  </si>
  <si>
    <t>5180 - Feriepenger</t>
  </si>
  <si>
    <t>-</t>
  </si>
  <si>
    <t>5182 - ARB.avg. Pålpende feriepenger</t>
  </si>
  <si>
    <t>Temaforelesning</t>
  </si>
  <si>
    <t>Turneringsvert Bridge for Alle</t>
  </si>
  <si>
    <t>5210 - Fri telefon</t>
  </si>
  <si>
    <t>5290 - Motkonto for gruppe 52</t>
  </si>
  <si>
    <t>5400 - Arbeidsgiveravgift</t>
  </si>
  <si>
    <t>5999 - Lønnsrelaterte kostnader Festivalen</t>
  </si>
  <si>
    <t>6010 - Dublering mm Festivalen</t>
  </si>
  <si>
    <t>6302 - Halleie Festivalen + kaffe</t>
  </si>
  <si>
    <t>6521 - Diverse kostnader Festivalen</t>
  </si>
  <si>
    <t>6523 - Premier kvelds og sideturneringer</t>
  </si>
  <si>
    <t>6524 - Premier Festivalen</t>
  </si>
  <si>
    <t>6526 - Div kostnader ifm Festivalguiden</t>
  </si>
  <si>
    <t>6527 - Fraktkostnader Festivalen</t>
  </si>
  <si>
    <t>7145 - Reisekostnader Festivalen</t>
  </si>
  <si>
    <t>7155 - Diettkostnader oppgavepliktig Festivalen</t>
  </si>
  <si>
    <t>6529 - Bankett</t>
  </si>
  <si>
    <t>Stabsrom</t>
  </si>
  <si>
    <t>Rabatter boende på hotellet</t>
  </si>
  <si>
    <t>Sum kostnader</t>
  </si>
  <si>
    <t>Resultat</t>
  </si>
  <si>
    <t>Budsjett rekruttering 2025</t>
  </si>
  <si>
    <t>Tilgjengelig beløp</t>
  </si>
  <si>
    <t>Totalkostnad</t>
  </si>
  <si>
    <t>Differanse</t>
  </si>
  <si>
    <t>Utarbeidet:</t>
  </si>
  <si>
    <t>Av:</t>
  </si>
  <si>
    <t>Gunn Tove Vist</t>
  </si>
  <si>
    <t>Navn</t>
  </si>
  <si>
    <t>Beskrivelse</t>
  </si>
  <si>
    <t>Antall</t>
  </si>
  <si>
    <t>Stykkpris</t>
  </si>
  <si>
    <t>Inntekter</t>
  </si>
  <si>
    <t>Sum aktivitet</t>
  </si>
  <si>
    <t xml:space="preserve">Kommentarer: </t>
  </si>
  <si>
    <t>Bridgens Dag</t>
  </si>
  <si>
    <t>Promotering bridge og startskudd rekruttering høsten 2025</t>
  </si>
  <si>
    <t>Klubbaktiviteter</t>
  </si>
  <si>
    <t>Tilskudd aktiviteter i klubbene 80 á 1500</t>
  </si>
  <si>
    <t>Markedsføring</t>
  </si>
  <si>
    <t>SoMe, google ads</t>
  </si>
  <si>
    <t>Premiering</t>
  </si>
  <si>
    <t>Premier i nasjonal konkurranse</t>
  </si>
  <si>
    <t>Universitetsarrangement</t>
  </si>
  <si>
    <t>Arrangement fadderuke universitet og høgskoler</t>
  </si>
  <si>
    <t>Sum Bridgens Dag</t>
  </si>
  <si>
    <t>Spill Bridge 2</t>
  </si>
  <si>
    <t>Online kurs for litt øvede vinteren 2024</t>
  </si>
  <si>
    <t>Forelesere</t>
  </si>
  <si>
    <t>3 timer forberedelse + 2 timer kurs</t>
  </si>
  <si>
    <t>TL avslutningsturnering</t>
  </si>
  <si>
    <t>Salg Spill Bridge 2</t>
  </si>
  <si>
    <t>Innmeldinger NBF</t>
  </si>
  <si>
    <t>Kursavgift medlem</t>
  </si>
  <si>
    <t>Kursavgift junior</t>
  </si>
  <si>
    <t>Kursavgift ikke-medlem</t>
  </si>
  <si>
    <t>Nettstedsavgifter (Realbridge)</t>
  </si>
  <si>
    <t>Sum Spill Bridge 2</t>
  </si>
  <si>
    <t>Spill Bridge 3</t>
  </si>
  <si>
    <t>Online kurs for klubbspillere høsten 2024</t>
  </si>
  <si>
    <t>Forelesere (hoved)</t>
  </si>
  <si>
    <t>Foreleser (hjelpe)</t>
  </si>
  <si>
    <t>Salg Spill Bridge 3</t>
  </si>
  <si>
    <t>Bøker og kompendium</t>
  </si>
  <si>
    <t>Sum Spill Bridge 3</t>
  </si>
  <si>
    <t>Spill Bridge 1</t>
  </si>
  <si>
    <t>Online nybegynnerkurs høsten 2024</t>
  </si>
  <si>
    <t>Salg Spill Bridge 1</t>
  </si>
  <si>
    <t>Kursavgift</t>
  </si>
  <si>
    <t>Lage spillfiler med kommentarer</t>
  </si>
  <si>
    <t>Sommerjobb for juniorer, timebetalt</t>
  </si>
  <si>
    <t>Kursavgift inkl. juniormedlemskap</t>
  </si>
  <si>
    <t>Promotering Facebook</t>
  </si>
  <si>
    <t>Sum Spill Bridge 1</t>
  </si>
  <si>
    <t>Tema-forelesninger</t>
  </si>
  <si>
    <t>Serie på 5 tema, bred målgruppe</t>
  </si>
  <si>
    <t>Startavgift</t>
  </si>
  <si>
    <t>5 serier, 30 par á 200 (medlemspris)</t>
  </si>
  <si>
    <t>Nettstedsavgifter</t>
  </si>
  <si>
    <t>Sum online kurs</t>
  </si>
  <si>
    <t>Sum Temakvelder</t>
  </si>
  <si>
    <t>Turnering for nybegynnere arrangert lokalt januar 2025</t>
  </si>
  <si>
    <t>Vareinnkjøp og premier</t>
  </si>
  <si>
    <t>Premier: Fasitkortstokker, kopper, bridgebøker, etc.</t>
  </si>
  <si>
    <t>Utsending av varer</t>
  </si>
  <si>
    <t>20 steder</t>
  </si>
  <si>
    <t>Hefte med kommenterte spill</t>
  </si>
  <si>
    <t>Honorar til forfatter og trykking av hefte</t>
  </si>
  <si>
    <t>Ut fra deltakelse. Ca 1500 kr pr sted</t>
  </si>
  <si>
    <t>Sum Nybegynnersimultan</t>
  </si>
  <si>
    <t xml:space="preserve">Juleserie </t>
  </si>
  <si>
    <t>I samarbeid med BK Missklikk. Alle inntekter går til juniorfondet</t>
  </si>
  <si>
    <t>Premier - gavekort i Bridgebutikken</t>
  </si>
  <si>
    <t>Sum juleserie</t>
  </si>
  <si>
    <t>Rekruttpulje NM damelag</t>
  </si>
  <si>
    <t xml:space="preserve">Arena ferske spillere </t>
  </si>
  <si>
    <t xml:space="preserve">Viktig rekrutteringstiltak og arena for ferske spillere. </t>
  </si>
  <si>
    <t>Reisefordelingskasse</t>
  </si>
  <si>
    <t xml:space="preserve">Hadde budsjettert med reisefordelingskasse på 25000kr i fjor, men pga mange lokale lag var det kun noen spillere som benyttet seg av den. </t>
  </si>
  <si>
    <t>Medaljer (også ruter- og hjertermestere i NM)</t>
  </si>
  <si>
    <t>18 gull, 6 sølv og 6 bronse. 40kr per stk + 390kr for eget motiv</t>
  </si>
  <si>
    <t xml:space="preserve">Tar 1000kr per lag i år som går til reisefordelingskasse, men forventer økt deltagelse langveis fra så budsjetterer med ekstra reisestøtte. </t>
  </si>
  <si>
    <t>Kort, turneringsledelse og turneringsvert</t>
  </si>
  <si>
    <t>Sum rekruttpulje NM damelag</t>
  </si>
  <si>
    <t>Pilotprosjekt - følge modell fra Trøndelag i to andre kretser</t>
  </si>
  <si>
    <t xml:space="preserve">Utvalgte kretser får ekstra oppfølging og hjelp i rekrutteringsarbeidet. Basert på modell som utvikles i Trøndelag. </t>
  </si>
  <si>
    <t xml:space="preserve">Startpakke til klubbene </t>
  </si>
  <si>
    <t>Opplæring og materiell</t>
  </si>
  <si>
    <t xml:space="preserve">Lokalt: Møter, nybegynnerkurs, lokal markedsføring (kino/avis/radio), kursing av tillitsvalgte. </t>
  </si>
  <si>
    <t xml:space="preserve">Solid markedsføring lokalt </t>
  </si>
  <si>
    <t>Lokale facebookgrupper, kino, omtale lokalavisa, besøk lokalradio</t>
  </si>
  <si>
    <t xml:space="preserve">Online treffpunkt 3-4 ganger i året for alle klubbene som er med. </t>
  </si>
  <si>
    <t>Besøk til klubben - kickoff</t>
  </si>
  <si>
    <t>Leie av lokale og servering kick-off</t>
  </si>
  <si>
    <t xml:space="preserve">Reise og overnatting 3 repr per kickoff, 2 kick off. </t>
  </si>
  <si>
    <t>Sum Klubber i fare</t>
  </si>
  <si>
    <t>Utvikle gode dokumenter/veiledere</t>
  </si>
  <si>
    <t>Hjelpemiddel til klubbene i jobben med overgang fra kurs til klubb</t>
  </si>
  <si>
    <t>Opprette online klubb med ukentlig spilling</t>
  </si>
  <si>
    <t>Honorar til TL og bridgelærer</t>
  </si>
  <si>
    <t>Sum Fra kurs til klubb</t>
  </si>
  <si>
    <t>Utvikle digitalt kurs og materiell som følger årshjul rekruttering</t>
  </si>
  <si>
    <t xml:space="preserve">Bridgelærerutdanning i tett samarbeid med pilotpotsjektet for klubber i fare. </t>
  </si>
  <si>
    <t>Fysisk møte med sentrale personer - legge plan</t>
  </si>
  <si>
    <t>Reise 5 personer</t>
  </si>
  <si>
    <t>Planleggingsmøte med sentrale folk i opplæring for å stake ut veien videre.  </t>
  </si>
  <si>
    <t>Overnatting planleggingsmøte</t>
  </si>
  <si>
    <t>2 overnattinger med fullpensjon, 5 stk</t>
  </si>
  <si>
    <t>Honorar ansvarlige bridgelærerutdanningen</t>
  </si>
  <si>
    <t>En pedagogisk ansvarlig og en bridgefaglig ansvarlig</t>
  </si>
  <si>
    <t>Utvikle digitalt kurs</t>
  </si>
  <si>
    <t>Honorar kursutviklere</t>
  </si>
  <si>
    <t>Utvikle digitalt kurs for bridgelærere som følger rekrutteringsårshjulet.</t>
  </si>
  <si>
    <t>Sum Bridgelærerutdanning</t>
  </si>
  <si>
    <t>Sommerleir junior 2025</t>
  </si>
  <si>
    <t>Nasjonal leir Lillehammer sommeren 2025 + lokale leire</t>
  </si>
  <si>
    <t xml:space="preserve">Nasjonal juniorleir holdes i forkant av Norsk Bridgefestival på Lillehammer. </t>
  </si>
  <si>
    <t>Bufdir inkluderingsmidler</t>
  </si>
  <si>
    <t>Leie av lokaler nasjonal leir</t>
  </si>
  <si>
    <t>Smørehall Birkebeiner skistadion</t>
  </si>
  <si>
    <t>Overnatting nasjonal leir</t>
  </si>
  <si>
    <t xml:space="preserve">Overnatting og leie av sengeklær </t>
  </si>
  <si>
    <t>Mat nasjonal leir</t>
  </si>
  <si>
    <t>Transport nasjonal leir</t>
  </si>
  <si>
    <t>Leie av buss, kjøregodtgjørelse, tog- og flybilletter</t>
  </si>
  <si>
    <t>Utstyr nasjonal leir</t>
  </si>
  <si>
    <t xml:space="preserve">TL, kort, T-skjorter, utstyr til andre aktiviteter og premier. </t>
  </si>
  <si>
    <t>Støtte til lokale leire</t>
  </si>
  <si>
    <t xml:space="preserve">Klubber holder lokale leire </t>
  </si>
  <si>
    <t xml:space="preserve">Klubbene oppfordres til å søke kommunens lokale ordninger for sommeraktiviteter. </t>
  </si>
  <si>
    <t>SUM sommerleir lokalt og nasjonalt</t>
  </si>
  <si>
    <t>Støtteordninger juniorbridgeklubber</t>
  </si>
  <si>
    <t>Inkluderingsmidler betales ut til klubbene</t>
  </si>
  <si>
    <t>Midlene skal brukes lokalt i klubbene til inkludering og økt aktivitet</t>
  </si>
  <si>
    <t>Frifond organisasjon</t>
  </si>
  <si>
    <t>NBF mottar støtte basert på antall tellende medlemmer</t>
  </si>
  <si>
    <t>Administrasjonen beholder 5% til administrative utg. Resten utbetales til klubbene i form av prosjekt- og driftsstøtte</t>
  </si>
  <si>
    <t>Sum Støtteordninger juniorbridgeklubber</t>
  </si>
  <si>
    <t xml:space="preserve">Kursstøtte </t>
  </si>
  <si>
    <t>Til klubber som arrangerer nybegynnerkurs etter gitte kriterier</t>
  </si>
  <si>
    <t>Økonomisk støtte</t>
  </si>
  <si>
    <t>40 klubber</t>
  </si>
  <si>
    <t>Sum kursstøtte</t>
  </si>
  <si>
    <t xml:space="preserve">Ca 20 elever (hvorav 5 privatister). NBF betaler ikke for privatister. </t>
  </si>
  <si>
    <t xml:space="preserve">Toppidrett bridge må ha 2 live samlinger for å fylle fagets krav mtp timetall. </t>
  </si>
  <si>
    <t>2 årlige samlinger</t>
  </si>
  <si>
    <t>Reise, opphold og mat for 2 samlinger (13 elever og en lærer per samling)</t>
  </si>
  <si>
    <t xml:space="preserve">Samtidig er det viktig for det sosiale og utviklingen av bridgen å møtes live. </t>
  </si>
  <si>
    <t>Matpenger</t>
  </si>
  <si>
    <t>Elevene betaler matpenger på samling</t>
  </si>
  <si>
    <t>Honorar</t>
  </si>
  <si>
    <t>Innleide forelesere/TL på samlinger</t>
  </si>
  <si>
    <t>SUM Toppidrett bridge</t>
  </si>
  <si>
    <t>Arrangeres av Sandnes JBK og Sola BK, okt 2025</t>
  </si>
  <si>
    <t>Spilleravgift, NM</t>
  </si>
  <si>
    <t>600 kr per par</t>
  </si>
  <si>
    <t>Spilleravgift, rekruttpulje</t>
  </si>
  <si>
    <t>200 kr per par</t>
  </si>
  <si>
    <t>Spilleravgift, knøttepulje</t>
  </si>
  <si>
    <t>100 kr per par</t>
  </si>
  <si>
    <t>Medaljer NM</t>
  </si>
  <si>
    <t>2 gull, 2 sølv, 2 bronse</t>
  </si>
  <si>
    <t>Medaljer rekrutt og knøtt</t>
  </si>
  <si>
    <t xml:space="preserve">4 gull, 4 sølv, 4 bronse. 40kr per stk + 390kr for eget motiv. </t>
  </si>
  <si>
    <t xml:space="preserve">Reisestøtte </t>
  </si>
  <si>
    <t>Til spillere med over 200 km reisevei t/r</t>
  </si>
  <si>
    <t>Flat støtte arrangementskostnader</t>
  </si>
  <si>
    <t>Arrangørklubb ordner alt (TL, kort, lokaler osv).</t>
  </si>
  <si>
    <t>Støtte til sosialt arrangement</t>
  </si>
  <si>
    <t>100 kr per spiller + 4 voksne</t>
  </si>
  <si>
    <t>SUM NM Junior</t>
  </si>
  <si>
    <t>Forslag budsjett Bridge for Alle 2025</t>
  </si>
  <si>
    <t>Forslag budsjett Bridge for Alle 2023</t>
  </si>
  <si>
    <t>Forslag budsjett Bridge for Alle 2022</t>
  </si>
  <si>
    <t>Forslag budsjett Bridge for Alle 2021</t>
  </si>
  <si>
    <t>Forslag budsjett Bridge for Alle 2020</t>
  </si>
  <si>
    <t>Tenerife festival januar</t>
  </si>
  <si>
    <t>Budsjett</t>
  </si>
  <si>
    <t>Kommentarer</t>
  </si>
  <si>
    <t xml:space="preserve">Inntekter </t>
  </si>
  <si>
    <t>ikke mottatt, Allan estimat</t>
  </si>
  <si>
    <t>Diverse kostnader</t>
  </si>
  <si>
    <t>Reisekostnader</t>
  </si>
  <si>
    <t>Premier</t>
  </si>
  <si>
    <t>Balanse</t>
  </si>
  <si>
    <t>Tenerife festival november</t>
  </si>
  <si>
    <t>Storefjellfestivalen</t>
  </si>
  <si>
    <t>Tom tok 3.400 for kortlegging i 2019, men da brukte han kretsens kort.  Nå ligger det igjen kort fra NM Par</t>
  </si>
  <si>
    <t>Tom og Eli Ann</t>
  </si>
  <si>
    <t>Fra NBF og drikkekupponger</t>
  </si>
  <si>
    <t>Totale inntekter:</t>
  </si>
  <si>
    <t>Totale kostnader:</t>
  </si>
  <si>
    <t>Forslag budsjett - Internasjonal representasjon 2025</t>
  </si>
  <si>
    <t>Forslag budsjett Internasjonal representasjon 2024</t>
  </si>
  <si>
    <t>Forslag budsjett Internasjonal representasjon 2023</t>
  </si>
  <si>
    <t>Budsjettanslag landslagene</t>
  </si>
  <si>
    <t>Budsjettoverslag landslagene</t>
  </si>
  <si>
    <t>Mesterskap/turnering</t>
  </si>
  <si>
    <t>Forslag 2025</t>
  </si>
  <si>
    <t>Forslag</t>
  </si>
  <si>
    <t>Revisjon</t>
  </si>
  <si>
    <t>Nordisk mesterskap åpen</t>
  </si>
  <si>
    <t>Island</t>
  </si>
  <si>
    <t xml:space="preserve">EM nasjonslag åpen klasse </t>
  </si>
  <si>
    <t>Örebro, Sverige - kun overslag</t>
  </si>
  <si>
    <t>Nordisk mesterskap damer</t>
  </si>
  <si>
    <t>EM nasjonslag damer</t>
  </si>
  <si>
    <t>White House U26, NL</t>
  </si>
  <si>
    <t>EM nasjonslag veteran</t>
  </si>
  <si>
    <t>2023?</t>
  </si>
  <si>
    <t>VM nasjonslag åpen klasse</t>
  </si>
  <si>
    <t>Herning, Danmark</t>
  </si>
  <si>
    <t>EM nasjonslag mix</t>
  </si>
  <si>
    <t>VM nasjonslag åpen klasse (2023)</t>
  </si>
  <si>
    <t>Overslag</t>
  </si>
  <si>
    <t>VM nasjonslag dameklassen</t>
  </si>
  <si>
    <t>World Bridge Games, åpen</t>
  </si>
  <si>
    <t>VM nasjonslag dameklassen (2023)</t>
  </si>
  <si>
    <t>VM nasjonslag veteran</t>
  </si>
  <si>
    <t>World Bridge Games, damer</t>
  </si>
  <si>
    <t>VM nasjonslag veteran (2023)</t>
  </si>
  <si>
    <t>Nordisk mesterskap U26</t>
  </si>
  <si>
    <t>Middelfart, Danmark</t>
  </si>
  <si>
    <t>World Bridge Games, veteran</t>
  </si>
  <si>
    <t>Anslag</t>
  </si>
  <si>
    <t>Nordisk mesterskap U21</t>
  </si>
  <si>
    <t>World Bridge Games, mix</t>
  </si>
  <si>
    <t>Nordisk mesterskap U16</t>
  </si>
  <si>
    <t>VM nasjonslag Jenter U26</t>
  </si>
  <si>
    <t>VM nasjonslag U26W</t>
  </si>
  <si>
    <t>Angers, Frankrike (alt. Salsomaggiore Terme, Italia)</t>
  </si>
  <si>
    <t>EM nasjonslag U26</t>
  </si>
  <si>
    <t>VM nasjonslag U21</t>
  </si>
  <si>
    <t>VM nasjonslag U16</t>
  </si>
  <si>
    <t>EM nasjonslag U16</t>
  </si>
  <si>
    <t>Total for alle mesterskap/klasser</t>
  </si>
  <si>
    <t>EM nasjonslag Jenter U26</t>
  </si>
  <si>
    <t>Andre aktiviteter/tiltak</t>
  </si>
  <si>
    <t>EM nasjonslag U21</t>
  </si>
  <si>
    <t>Påskesamling ungdom</t>
  </si>
  <si>
    <t>Påskesamling ungdomslandslagene</t>
  </si>
  <si>
    <t>Andre samlinger</t>
  </si>
  <si>
    <t>U16 - sommer</t>
  </si>
  <si>
    <t>Landslagssystem</t>
  </si>
  <si>
    <t>Landslagsskjorter</t>
  </si>
  <si>
    <t>Sportssjef</t>
  </si>
  <si>
    <t>Landslagssamling - U26, U26W og U21</t>
  </si>
  <si>
    <t>Frie disponible midler</t>
  </si>
  <si>
    <t>Landslagssamling - U16</t>
  </si>
  <si>
    <t>Total for andre aktiviteter/tiltak</t>
  </si>
  <si>
    <t>Obs.turnering damer - RealBridge</t>
  </si>
  <si>
    <t>Økonomisk ramme Internasjonal representasjon</t>
  </si>
  <si>
    <t>Obs.turnering åpen - RealBridge</t>
  </si>
  <si>
    <t>Disponibelt iht. Økonomiplan</t>
  </si>
  <si>
    <t>Damesamling i forkant av NM helg</t>
  </si>
  <si>
    <t>Fra disp. fond/Poenghøsten</t>
  </si>
  <si>
    <t>Meldetrening</t>
  </si>
  <si>
    <t xml:space="preserve">Total økonomisk ramme </t>
  </si>
  <si>
    <t>Aktivitetsledere/trenere/coacher</t>
  </si>
  <si>
    <t>Budsjettbalanse internasjonal representasjon</t>
  </si>
  <si>
    <t>Budsjett mesterskap/klasser</t>
  </si>
  <si>
    <t>Budsjett aktiviteter/tiltak</t>
  </si>
  <si>
    <t>Disponibelt fra fond/Poenghøsten</t>
  </si>
  <si>
    <t>Landslagenes klassevise budsjett</t>
  </si>
  <si>
    <t>U26</t>
  </si>
  <si>
    <t>U21</t>
  </si>
  <si>
    <t>U26W</t>
  </si>
  <si>
    <t>U16</t>
  </si>
  <si>
    <t>Klassevise mesterskaps-budsjett</t>
  </si>
  <si>
    <t>Jenter U26</t>
  </si>
  <si>
    <t>Sum alle klasser</t>
  </si>
  <si>
    <t>Finansiering</t>
  </si>
  <si>
    <t>SUM</t>
  </si>
  <si>
    <t>Kommentar</t>
  </si>
  <si>
    <t>Støtte fra Bufdir</t>
  </si>
  <si>
    <t>Egenfinansiering</t>
  </si>
  <si>
    <t>2025: Sponsorstøtte fra Skeidar 50 000 (1250,-/barn til skolemesterskapet). Cashback: 10 000. 40 FunBridge abonnement á 2000</t>
  </si>
  <si>
    <t>Inntekter fra prosjektet (spesifiser under)</t>
  </si>
  <si>
    <t>Prosjekttilskudd fra andre (spesifiser under)</t>
  </si>
  <si>
    <t>Sparebankstiftelsen DNB</t>
  </si>
  <si>
    <t>Prosjekttilskudd: Animasjon for læring</t>
  </si>
  <si>
    <t>Delsum</t>
  </si>
  <si>
    <t>UTGIFTER</t>
  </si>
  <si>
    <t>TOTAL</t>
  </si>
  <si>
    <t>Lønn til ansatte</t>
  </si>
  <si>
    <t>Lønn og sosiale utgifter prosjektleder, to regionsledere og innleid kompetanse</t>
  </si>
  <si>
    <t>Lønn til deltakere</t>
  </si>
  <si>
    <t>2025/26: Pilot: Ungdom veileder yngre barn og får jobbtrening. 4 steder, 2 timer á 2 personer 20 ganger á 125,-/time.</t>
  </si>
  <si>
    <t>Husleie/strøm/renhold</t>
  </si>
  <si>
    <t xml:space="preserve">Leie av lokale opplæring lokale frivillig-grupper/regionale skolemesterskap/renhold skoler. </t>
  </si>
  <si>
    <t>Utgifter til inngangsbilletter/deltakelse</t>
  </si>
  <si>
    <t>Aktivitet som gir rike opplevelser i tilknytning til bridgearrangement, spesielt Regionale skolemesterskap.</t>
  </si>
  <si>
    <t>Reise/transport og opphold</t>
  </si>
  <si>
    <t xml:space="preserve">(Lokal) reise og opphold.  Reiserefusjon lokale bridgelærere: 20 000. Reise, opphold og diett til prosjektleder og regionsledere på kurs for lokale frivillig-grupper. 2025: 4-5 regionale skolemesterskap: 250 000. 4 Samlinger for ungdomsgruppene á 20 000. </t>
  </si>
  <si>
    <t>* søke omdisponering 40 000 til kurs</t>
  </si>
  <si>
    <t>Innkjøp av utstyr</t>
  </si>
  <si>
    <t>Skolebridge lokalt: Kortstokker, kortholdere, mapper, lynbridgekortstokker, brosjyrer</t>
  </si>
  <si>
    <t>Innkjøp av utstyr til utlån</t>
  </si>
  <si>
    <t>Investering i lokale</t>
  </si>
  <si>
    <t>Kurs og opplæring</t>
  </si>
  <si>
    <t xml:space="preserve">Kurs for unge hjelpere, ungdom 13-16 </t>
  </si>
  <si>
    <t>Andre kostnader (spesifiser under)</t>
  </si>
  <si>
    <r>
      <t>Mat skolemesterskap, deltakere, ledsagere og frivillige: 132 500. Mat fritidstilbud bridge 2025: 157 500 Dublering (=sortering) av kort og leie av utstyr, skolemesterskap: 40 000 
Dublering (= sortering) av kort lokalt i 25 kommuner: 22500
Utarbeide materiell til videre opplæring etter de 10 første leksjonene:</t>
    </r>
    <r>
      <rPr>
        <strike/>
        <sz val="11"/>
        <color theme="1"/>
        <rFont val="Calibri"/>
        <family val="2"/>
        <scheme val="minor"/>
      </rPr>
      <t xml:space="preserve"> 180 000</t>
    </r>
    <r>
      <rPr>
        <sz val="10"/>
        <rFont val="Arial"/>
        <family val="2"/>
      </rPr>
      <t>.100 000 Materiell (som utarbeide nye pilkortstokker, programvare etc.): 30 000</t>
    </r>
  </si>
  <si>
    <t>* søke omdisponering 100 000 til kurs</t>
  </si>
  <si>
    <t>Prosjekt ? Animasjon for læring</t>
  </si>
  <si>
    <t>Utvikle animerte opplæringsvideoer, nr. 19-26 og 27-34</t>
  </si>
  <si>
    <t>År</t>
  </si>
  <si>
    <t>Måned</t>
  </si>
  <si>
    <t>Antall fakturaer</t>
  </si>
  <si>
    <t>Sum</t>
  </si>
  <si>
    <t>Estimat serviceavgift til kretsene</t>
  </si>
  <si>
    <t>Totalt 2019</t>
  </si>
  <si>
    <t>Totalt 2020</t>
  </si>
  <si>
    <t>Totalt 2021</t>
  </si>
  <si>
    <t>Totalt 2022</t>
  </si>
  <si>
    <t>Totalt 2023</t>
  </si>
  <si>
    <t>Jan-okt 2024</t>
  </si>
  <si>
    <t>Estimat 2024</t>
  </si>
  <si>
    <t>NBF 2024</t>
  </si>
  <si>
    <t xml:space="preserve">Faste driftskostnader </t>
  </si>
  <si>
    <t>Webhotell klubber</t>
  </si>
  <si>
    <t>Basert på 268 klubber</t>
  </si>
  <si>
    <t>Webhotell kretser</t>
  </si>
  <si>
    <t>Basert på 24 kretser</t>
  </si>
  <si>
    <t>Abonnement og tjenesteavtale</t>
  </si>
  <si>
    <t>16500 pr mnd + wordpress</t>
  </si>
  <si>
    <t>Sum faste kostnader</t>
  </si>
  <si>
    <t>Konsumprispåslag</t>
  </si>
  <si>
    <t>Lønnsberegning 2024</t>
  </si>
  <si>
    <t>Lønn</t>
  </si>
  <si>
    <t>Pensjon</t>
  </si>
  <si>
    <t>Sosiale kostnader</t>
  </si>
  <si>
    <t>Total</t>
  </si>
  <si>
    <t>Stilling 1</t>
  </si>
  <si>
    <t>Bruker tall fra øk.plan</t>
  </si>
  <si>
    <t>Stilling 2</t>
  </si>
  <si>
    <t>Stilling 3</t>
  </si>
  <si>
    <t>Kostnadsføres i skolebridge</t>
  </si>
  <si>
    <t>Ny stilling</t>
  </si>
  <si>
    <t>Deltidsstilling 1</t>
  </si>
  <si>
    <t>Deltidsstilling 2</t>
  </si>
  <si>
    <t>Lærer VGS</t>
  </si>
  <si>
    <t>Lønnsoppgjør 2025 antatt 4,5%</t>
  </si>
  <si>
    <t>Sum lønn:</t>
  </si>
  <si>
    <t>Tallene over er forenklet siden det ikke er fratrukket feriepenger fra årslønn og beregnet feriepenger, samt at ekstra arbeidsgriveravgift over 850000 ikke er hensyntatt.</t>
  </si>
  <si>
    <t>Forsikringer kommer i tillegg, men er postert under kontorkostnader</t>
  </si>
  <si>
    <t>Alle poster i dette budsjettet er hentet fra hovedbudsjettet og andre delbudsjett, og er laget for å synliggjøre NBFs arbeid rettet mot barn og unge.</t>
  </si>
  <si>
    <t>Kun kostnader er tatt med. (bruttotall der hvor aktiviteten også medfører inntekter)</t>
  </si>
  <si>
    <t>Norsk Skolebridge</t>
  </si>
  <si>
    <t>Landslag U26</t>
  </si>
  <si>
    <t>Landslag U21</t>
  </si>
  <si>
    <t>Landslag U26W</t>
  </si>
  <si>
    <t>Landslag U16</t>
  </si>
  <si>
    <t>Landslagssamling U26, U21 og U26W</t>
  </si>
  <si>
    <t>Landslagssamling U16</t>
  </si>
  <si>
    <t>Organisasjonsdager ungdom</t>
  </si>
  <si>
    <t>Nasjonal sommerleir</t>
  </si>
  <si>
    <t>Toppidrett bridge aktiviteter</t>
  </si>
  <si>
    <t>Toppidrett bridge lønn faglærer</t>
  </si>
  <si>
    <t>Budsjett rekruttering 2024</t>
  </si>
  <si>
    <t>Promotering bridge og startskudd rekruttering høsten 2024</t>
  </si>
  <si>
    <t>Premier - markedsføringspakke</t>
  </si>
  <si>
    <t>Nybegynner simultan</t>
  </si>
  <si>
    <t>Turnering for nybegynnere arrangert lokalt mars 2024</t>
  </si>
  <si>
    <t>15 steder</t>
  </si>
  <si>
    <t xml:space="preserve">Markedsføring </t>
  </si>
  <si>
    <t>Sum Nybegynner simultan</t>
  </si>
  <si>
    <t>Organisasjonsdager med fokus på SoMe på årets nasjonale juniorleir</t>
  </si>
  <si>
    <t xml:space="preserve">Vi har søkt LNU Aktivitetsstøtta om midler til opplæring og innholdsproduksjon. </t>
  </si>
  <si>
    <t>Honorar innleid SoMe-ekspert</t>
  </si>
  <si>
    <t>Holde kurs og lære oss mer om markedsføring på SoMe</t>
  </si>
  <si>
    <t xml:space="preserve">Det budsjetteres her det som planlegges uten den støtten. Evt støtte og utvidelse av prosjektet </t>
  </si>
  <si>
    <t>Lønn til innholdsprodusenter</t>
  </si>
  <si>
    <t xml:space="preserve">Juniorer skal utvikle innhold til SoMe. </t>
  </si>
  <si>
    <t xml:space="preserve">kommer i tillegg. </t>
  </si>
  <si>
    <t>Kjøpe markedsføring på SoMe</t>
  </si>
  <si>
    <t>Betalt, målrettet markedsføring SnapChat, Facebook, TikTok og Instagram</t>
  </si>
  <si>
    <t>Summen på 5000 kr er beløp per plattform</t>
  </si>
  <si>
    <t>Sum SoMe og innholdsproduksjon</t>
  </si>
  <si>
    <t>Kort og turneringsledelse</t>
  </si>
  <si>
    <t>Sum rekrutt NM damelag</t>
  </si>
  <si>
    <t>Pilotprosjekt - tett oppfølging av 10 klubber som sliter</t>
  </si>
  <si>
    <t xml:space="preserve">Utvalgte klubber følges tett av en fadderklubb, kretsen eller NBF.  </t>
  </si>
  <si>
    <t xml:space="preserve">En representant fra NBF sammen med lokal klubb/krets. Reise NBF repr. </t>
  </si>
  <si>
    <t>Klubbene forplikter seg til å være fadderklubb for en ny klubb etter endt 2-årsperiode (om det har gått bra da).</t>
  </si>
  <si>
    <t>Sommerleir junior 2024</t>
  </si>
  <si>
    <t>Nasjonal leir Lillehammer sommeren 2024 + lokale leire</t>
  </si>
  <si>
    <t>Deltakeravgift nasjonal leir</t>
  </si>
  <si>
    <t>2500 kr per deltaker</t>
  </si>
  <si>
    <t xml:space="preserve">Har søkt Bufdir inkludering og Bufdir barn med funksjonsnedsettelse til juniorleir. </t>
  </si>
  <si>
    <t>Skal også søke Lillehammer kommune om støtte til idrettsarrangement.</t>
  </si>
  <si>
    <t>Kostnader per deltaker nasjonal leir</t>
  </si>
  <si>
    <t xml:space="preserve">Overnatting (4-mannsrom og sovesal), leie av sengeklær og mat </t>
  </si>
  <si>
    <t>Evt beløp innvilget vil ha innvirkning på budsjett.</t>
  </si>
  <si>
    <t>Kostnader voksne nasjonal leir</t>
  </si>
  <si>
    <t>Reise, opphold og mat</t>
  </si>
  <si>
    <t>Kort, T-skjorter, utstyr til andre aktiviteter og premier</t>
  </si>
  <si>
    <t>Klubber holder lokale leire (opptil 20 deltakere)</t>
  </si>
  <si>
    <t>Rekrutteringskampanje mot pokermiljøet, stand og lynkurs på NM</t>
  </si>
  <si>
    <t>NM Gardermoen høsten 2024</t>
  </si>
  <si>
    <t>Reise, opphold og diett for 2 promotører, 1 natt på hotell</t>
  </si>
  <si>
    <t>Materiell</t>
  </si>
  <si>
    <t>Lynbridgekortstokker til utdeling og premier i lynbridgeturneringen</t>
  </si>
  <si>
    <t>Via Norsk Pokerforbund og SoMe</t>
  </si>
  <si>
    <t>Vervekampanje</t>
  </si>
  <si>
    <t xml:space="preserve">Premie til bridgepokerspiller som verver flest nye </t>
  </si>
  <si>
    <t>Premie: Gratis deltagelse i turneringer i regi av NBF, verdi 1500 kr.</t>
  </si>
  <si>
    <t>Oppfølging av spillerne i etterkant</t>
  </si>
  <si>
    <t>Arrangere opplæring og spilling på Realbridge frem mot juleturnering</t>
  </si>
  <si>
    <t>Hvis en av promotørene ikke er internt fra NBF</t>
  </si>
  <si>
    <t>Juleturnering</t>
  </si>
  <si>
    <t>Kåring av beste bridge + pokerspiller, online (selvfinansiert)</t>
  </si>
  <si>
    <t xml:space="preserve">Turnering i 2 deler: Spillerne betaler for bridgeturneringen. Freeroll pokerturnering. </t>
  </si>
  <si>
    <t>SUM Bridge + poker = sant</t>
  </si>
  <si>
    <t xml:space="preserve">Sammenlagt premiering av overskuddet (hvis det er innafor lover/regler) </t>
  </si>
  <si>
    <t>Reise, opphold og mat for 2 samlinger (15 elever og en lærer per samling)</t>
  </si>
  <si>
    <t xml:space="preserve">Vi planlegger å søke støtte fra Erasmus+ til utveksling slik at den ene samlingen </t>
  </si>
  <si>
    <t>Lærebøker</t>
  </si>
  <si>
    <t>Elevene får låne lærebøker av NBF, supplering manglende bøker</t>
  </si>
  <si>
    <t xml:space="preserve">blir utenlands. Hvis det innvilges, vil kostnadene bli mindre ettersom Erasmus+ dekker det meste. </t>
  </si>
  <si>
    <t>Endret samlingsprisen fra 71000 til 96000, sannsynlig multiplikasjonsfeil.</t>
  </si>
  <si>
    <t>Arrangeres av OS Bridgeklubb, okt 2024</t>
  </si>
  <si>
    <t>Medaljer rekrutt</t>
  </si>
  <si>
    <t>100 kr per spiller</t>
  </si>
  <si>
    <t>BUDSJETT SKOLEBRIDGE</t>
  </si>
  <si>
    <t>lønn/ sosiale utgifter</t>
  </si>
  <si>
    <t>Lønn prosjektleder</t>
  </si>
  <si>
    <t>Lønn 5 stk regionale ledere a 30k</t>
  </si>
  <si>
    <t>Arbeidsgiveravgift</t>
  </si>
  <si>
    <t>Pensjonsinnskudd, 7%</t>
  </si>
  <si>
    <t>Feriepenger 12%</t>
  </si>
  <si>
    <t>Innleid kompetanse</t>
  </si>
  <si>
    <t>Utstyr</t>
  </si>
  <si>
    <t>Kortstokker</t>
  </si>
  <si>
    <t>1600 stokker a kr 20,-</t>
  </si>
  <si>
    <t>Mapper</t>
  </si>
  <si>
    <t>200 sett 1-8 a kr 240,-</t>
  </si>
  <si>
    <t>Meldebokser</t>
  </si>
  <si>
    <t>200 sett a kr 300,-</t>
  </si>
  <si>
    <t>oppbevaring</t>
  </si>
  <si>
    <t>3 kofferter pr sted a kr 500,-</t>
  </si>
  <si>
    <t>Kortholdere</t>
  </si>
  <si>
    <t>30 stk pr sted a kr 30,-</t>
  </si>
  <si>
    <t>Kurs/opplæring</t>
  </si>
  <si>
    <t>Kurs for de 5 første stedene, samt regionale ledere. Prosjektleder samt repr. Fra NBF/innleid kompetanse</t>
  </si>
  <si>
    <t>Reiser</t>
  </si>
  <si>
    <t>Reise prosjektleder, samt NBF/innleid</t>
  </si>
  <si>
    <t>Overnatting</t>
  </si>
  <si>
    <t>1200 pr natt</t>
  </si>
  <si>
    <t>Bespisning deltakere</t>
  </si>
  <si>
    <t>1000 pr sted (noen steder 0)</t>
  </si>
  <si>
    <t>Diett</t>
  </si>
  <si>
    <t>634 pr døgn</t>
  </si>
  <si>
    <t>Sentral bridgelærerutdanning, Lillehammer. For de som er avklarte fra høsten 2023, ca 40 pers.</t>
  </si>
  <si>
    <t>30 personer á 4000 i reise. Modul I (før oppstart) og Modul II (treffpunkt for de som er i gang)</t>
  </si>
  <si>
    <t>30 pers, 2 netter a kr 1000,-</t>
  </si>
  <si>
    <t xml:space="preserve">Mat </t>
  </si>
  <si>
    <t>Servering på kurssted</t>
  </si>
  <si>
    <t>Honorarer</t>
  </si>
  <si>
    <t>2 Kursholdere, spesialister a kr 5.000,-</t>
  </si>
  <si>
    <t xml:space="preserve">Lokale og regionale kurs </t>
  </si>
  <si>
    <t>Reise prosjektleder og regionale ledere, noe lokalt</t>
  </si>
  <si>
    <t>634pr døgn</t>
  </si>
  <si>
    <t>500kr pr sted</t>
  </si>
  <si>
    <t>Det gis 500kr i honorar til bridgelærere som holder kurs/opplæring som innbefatter overnatting</t>
  </si>
  <si>
    <t>Formidling</t>
  </si>
  <si>
    <t xml:space="preserve">Hefter og lærebøker endret til </t>
  </si>
  <si>
    <t>10 animerte videoer om meldinger (NB! Har søkt om prosjektmidler til 10/30 nye videoer fra LNU/Sparebankstiftelsen DNB)</t>
  </si>
  <si>
    <t>animerte videoer</t>
  </si>
  <si>
    <t>Brosjyre, utarbeidelse og trykk</t>
  </si>
  <si>
    <t>Leie lokaler/teknisk utstyr</t>
  </si>
  <si>
    <t>Lokaler kurs</t>
  </si>
  <si>
    <t>Kr 1000,- pr sted</t>
  </si>
  <si>
    <t>Leie kortgivermaskiner</t>
  </si>
  <si>
    <t>Dublering</t>
  </si>
  <si>
    <t>Reise transport, opphold</t>
  </si>
  <si>
    <t>Reiserefusjon</t>
  </si>
  <si>
    <t>lokale bridgelærere og medhjelpere, bil, bane buss, andre nødvendige reiser.</t>
  </si>
  <si>
    <t>Andre kostnader</t>
  </si>
  <si>
    <t>Måltider</t>
  </si>
  <si>
    <r>
      <t xml:space="preserve">Måltider til barna i fobindelse med skolebridgen, snittpris kr </t>
    </r>
    <r>
      <rPr>
        <strike/>
        <sz val="11"/>
        <color rgb="FF000000"/>
        <rFont val="Calibri"/>
        <family val="2"/>
      </rPr>
      <t>30</t>
    </r>
    <r>
      <rPr>
        <sz val="11"/>
        <color rgb="FF000000"/>
        <rFont val="Calibri"/>
        <family val="2"/>
      </rPr>
      <t xml:space="preserve"> 17 pr måltid, totalt 27800 måltider</t>
    </r>
  </si>
  <si>
    <t>Utarbeidelse, poduksjon og vedlikehold av undervisnings- og kursmateriell. 2024: Arbeidshefte elever</t>
  </si>
  <si>
    <t>Turneringer</t>
  </si>
  <si>
    <t>Første år: kun lokale turneringer (Frifond), 2 og 3. år: Lokale turneringer, 1 regional turnering per region og 1 nasjonal turnering,</t>
  </si>
  <si>
    <t>Forprosjekt</t>
  </si>
  <si>
    <t>Planleggingsmøter, møter med skoleledelse, reiser i forb. Med dette. Noe vil påløpe ultimo 2022.</t>
  </si>
  <si>
    <t xml:space="preserve">Vi har ikke nøyaktige regnskapstall for 2023 ennå, men det ser ut som vi ligger et sted mellom 150 000 og 300 000 under budsjett. </t>
  </si>
  <si>
    <t>Budsjett rekruttering 2023</t>
  </si>
  <si>
    <t>83.12.2022</t>
  </si>
  <si>
    <t>Marianne Harding</t>
  </si>
  <si>
    <t>17. september skal alle ha hørt om bridge</t>
  </si>
  <si>
    <t>Produsere bilder, kampanjemateriell til SoMe, kino, google ads</t>
  </si>
  <si>
    <t>www.bridgensdag.no</t>
  </si>
  <si>
    <t>Oppdatering nettside</t>
  </si>
  <si>
    <t>Online kurs for litt øvede vinteren 2023</t>
  </si>
  <si>
    <t>2 timer forberedelse + 2 timer kurs</t>
  </si>
  <si>
    <t xml:space="preserve">Bridgelærere </t>
  </si>
  <si>
    <t>5 bridgelærere hver kveld, 10 kvelder</t>
  </si>
  <si>
    <t>Bare gjennomført om vi får tilskudd fra Gjensidigestiftelsen</t>
  </si>
  <si>
    <t>Online kurs for klubbspillere h 2023</t>
  </si>
  <si>
    <t>Bøker, kompendium, headset e.l.</t>
  </si>
  <si>
    <t>Online nybegynnerkurs høsten 2023</t>
  </si>
  <si>
    <t>10 bridgelærere/mentorer pr kveld, 10 kvelder</t>
  </si>
  <si>
    <t>Headset e.l.</t>
  </si>
  <si>
    <t>5 serier, 40 par á 200 (medlemspris)</t>
  </si>
  <si>
    <t>Ikke-medlem (250,-/spiller)</t>
  </si>
  <si>
    <t xml:space="preserve">Turneringsledelse </t>
  </si>
  <si>
    <t>Forelesere (to hver gang á 1500, en intern)</t>
  </si>
  <si>
    <t>Turnering for nybegynnere arrangert lokalt</t>
  </si>
  <si>
    <t>Premier - markedsføringspakke: Fasitkortstokker, kopper, bridgebøker, etc.</t>
  </si>
  <si>
    <t>Ut fra deltakelse. Ca 1500 pr sted</t>
  </si>
  <si>
    <t>Organisasjonsdagene junior</t>
  </si>
  <si>
    <t>Opplæring i styrearbeid, bridgelærer, TL: 2024</t>
  </si>
  <si>
    <t>Sum org. dagene junior</t>
  </si>
  <si>
    <t>Diverse</t>
  </si>
  <si>
    <t>a) EBL youth bridge coach seminar b) Bridgelærerutdanning ifbm NM klubblag Stavanger c) Samreise skolebesøk</t>
  </si>
  <si>
    <t>Skolebesøk/klubb-besøk</t>
  </si>
  <si>
    <t>Klubber som trenger hjelp i startfase</t>
  </si>
  <si>
    <t>* Sambesøk - rutinerte blir med i nye regioner. Diett, reise + lite honorar utenfor egen region</t>
  </si>
  <si>
    <t>Unge bridgelærere</t>
  </si>
  <si>
    <t>Hjelp til oppstart - unge bridgelærere reiser og får honorar</t>
  </si>
  <si>
    <t>a) facebook b) nytrykk brosjyre/folder c) utsendelse til klubber</t>
  </si>
  <si>
    <t>Reise unge bridgelærere</t>
  </si>
  <si>
    <t>Sum Skolebesøk</t>
  </si>
  <si>
    <t>Krets/klubb står som lokal arrangør</t>
  </si>
  <si>
    <t>Reise ledere</t>
  </si>
  <si>
    <t>Reise planlegging bridgelærerutdanning</t>
  </si>
  <si>
    <t>Overnatting ledere</t>
  </si>
  <si>
    <t>En overnatting m fullpensjon</t>
  </si>
  <si>
    <t>Opplæringsmateriell</t>
  </si>
  <si>
    <t>Til deltakere - bli kjent med stoffet</t>
  </si>
  <si>
    <t>Post</t>
  </si>
  <si>
    <t>Sende opplæringspakke</t>
  </si>
  <si>
    <t>Deltakere på digitalt kurs, tilbud klubb</t>
  </si>
  <si>
    <t>Sum Bridgelærerutd.</t>
  </si>
  <si>
    <t>Forbedre kampanje- og opplæringsmateriell</t>
  </si>
  <si>
    <t>Roll ups</t>
  </si>
  <si>
    <t>Digitalt materiell</t>
  </si>
  <si>
    <t>Plakater, visittkort, diplomer etc</t>
  </si>
  <si>
    <t>Mini-bridge pilkortstokker</t>
  </si>
  <si>
    <t>Arbeid. Samarbeid med SBF? Sommerjobb juniorer?</t>
  </si>
  <si>
    <t xml:space="preserve">Programvare (Adobe) </t>
  </si>
  <si>
    <t>Studentlisenser til de som utvikler materiell</t>
  </si>
  <si>
    <t>Grunnkurs meldinger pilkortstokker</t>
  </si>
  <si>
    <t>Gjøre nytt materiell mer brukervennlig.</t>
  </si>
  <si>
    <t>Tema-forelesninger (Svensk)</t>
  </si>
  <si>
    <t>Oversette og tilpasse til norske system</t>
  </si>
  <si>
    <t>Sum kampanjemateriell</t>
  </si>
  <si>
    <t>Sommerleir junior 2023</t>
  </si>
  <si>
    <t>Lokale/regionale arrangement pga korona</t>
  </si>
  <si>
    <t>Støtte klubber</t>
  </si>
  <si>
    <t>Store leire (opp til 50 deltakere, 4 dager)</t>
  </si>
  <si>
    <t>Støtte mellomstore leire (opp til 20 deltakere, 4 dager)</t>
  </si>
  <si>
    <t>Støtte små leire (opp til 8 deltakere, 1-2 dager)</t>
  </si>
  <si>
    <t>T-skjorter</t>
  </si>
  <si>
    <t>Til bestilling</t>
  </si>
  <si>
    <t>SUM sommerleir regionalt</t>
  </si>
  <si>
    <t>Bridging schools</t>
  </si>
  <si>
    <t>Opplæring lærere</t>
  </si>
  <si>
    <t>Kurs for fagansvarlig</t>
  </si>
  <si>
    <t>Reise forsker (intervjuer)</t>
  </si>
  <si>
    <t>Barn, foreldre, lærere skal intervjues</t>
  </si>
  <si>
    <t>Case studies</t>
  </si>
  <si>
    <t>Støtte til feltarbeid Bridging schools</t>
  </si>
  <si>
    <t>SUM bridging schools</t>
  </si>
  <si>
    <t>Organisasjonsdagene regionalt</t>
  </si>
  <si>
    <t>6 steder</t>
  </si>
  <si>
    <t>Reise forelesere</t>
  </si>
  <si>
    <t>Administrasjon og styre</t>
  </si>
  <si>
    <t>Honorar innleide</t>
  </si>
  <si>
    <t>Budsjett lokalt innleide forelesere for dagen</t>
  </si>
  <si>
    <t>SUM organisasjonsdagene regionalt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</si>
</sst>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kr&quot;\ * #,##0_-;\-&quot;kr&quot;\ * #,##0_-;_-&quot;kr&quot;\ * &quot;-&quot;_-;_-@_-"/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 &quot;kr&quot;\ * #,##0_ ;_ &quot;kr&quot;\ * \-#,##0_ ;_ &quot;kr&quot;\ * &quot;-&quot;_ ;_ @_ "/>
    <numFmt numFmtId="165" formatCode="_ &quot;kr&quot;\ * #,##0.00_ ;_ &quot;kr&quot;\ * \-#,##0.00_ ;_ &quot;kr&quot;\ * &quot;-&quot;??_ ;_ @_ "/>
    <numFmt numFmtId="166" formatCode="#,##0;[Red]#,##0"/>
    <numFmt numFmtId="167" formatCode="_ &quot;kr&quot;\ * #,##0_ ;_ &quot;kr&quot;\ * \-#,##0_ ;_ &quot;kr&quot;\ * &quot;-&quot;??_ ;_ @_ "/>
    <numFmt numFmtId="168" formatCode="&quot;kr &quot;#,##0.00"/>
    <numFmt numFmtId="169" formatCode="&quot;$&quot;#,##0.00"/>
    <numFmt numFmtId="170" formatCode="_-[$kr-414]\ * #,##0.00_-;\-[$kr-414]\ * #,##0.00_-;_-[$kr-414]\ * &quot;-&quot;??_-;_-@_-"/>
    <numFmt numFmtId="171" formatCode="_-* #,##0_-;\-* #,##0_-;_-* &quot;-&quot;??_-;_-@_-"/>
    <numFmt numFmtId="172" formatCode="_-[$kr-414]\ * #,##0_-;\-[$kr-414]\ * #,##0_-;_-[$kr-414]\ * &quot;-&quot;??_-;_-@_-"/>
    <numFmt numFmtId="173" formatCode="#,##0_ ;[Red]\-#,##0\ "/>
    <numFmt numFmtId="174" formatCode="_-&quot;kr&quot;\ * #,##0_-;\-&quot;kr&quot;\ * #,##0_-;_-&quot;kr&quot;\ * &quot;-&quot;??_-;_-@_-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70C0"/>
      <name val="Calibri"/>
      <family val="2"/>
      <scheme val="minor"/>
    </font>
    <font>
      <sz val="12"/>
      <color rgb="FFFF0000"/>
      <name val="Arial"/>
      <family val="2"/>
    </font>
    <font>
      <b/>
      <sz val="9"/>
      <color indexed="9"/>
      <name val="Arial"/>
      <family val="2"/>
    </font>
    <font>
      <b/>
      <sz val="26"/>
      <color indexed="9"/>
      <name val="Arial"/>
      <family val="2"/>
    </font>
    <font>
      <b/>
      <sz val="24"/>
      <color indexed="9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20"/>
      <color indexed="18"/>
      <name val="Arial"/>
      <family val="2"/>
    </font>
    <font>
      <sz val="10"/>
      <name val="Arial"/>
      <family val="2"/>
    </font>
    <font>
      <b/>
      <sz val="9"/>
      <color theme="4" tint="-0.249977111117893"/>
      <name val="Arial"/>
      <family val="2"/>
    </font>
    <font>
      <sz val="10"/>
      <color theme="1"/>
      <name val="Arial"/>
      <family val="2"/>
    </font>
    <font>
      <sz val="10"/>
      <color theme="0" tint="-4.9989318521683403E-2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0"/>
      <name val="Arial"/>
      <family val="2"/>
    </font>
    <font>
      <b/>
      <sz val="9"/>
      <color rgb="FF366092"/>
      <name val="Arial"/>
      <family val="2"/>
    </font>
    <font>
      <sz val="9"/>
      <color rgb="FF366092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F1F1F"/>
      <name val="&quot;Google Sans&quot;"/>
    </font>
    <font>
      <strike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rgb="FFE0EED2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5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medium">
        <color indexed="64"/>
      </left>
      <right/>
      <top style="thick">
        <color indexed="9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3" fillId="0" borderId="0" applyFont="0" applyFill="0" applyBorder="0" applyAlignment="0" applyProtection="0"/>
    <xf numFmtId="0" fontId="16" fillId="0" borderId="0"/>
    <xf numFmtId="43" fontId="26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37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0" fillId="0" borderId="0" xfId="0" quotePrefix="1"/>
    <xf numFmtId="164" fontId="6" fillId="0" borderId="0" xfId="0" applyNumberFormat="1" applyFont="1"/>
    <xf numFmtId="0" fontId="9" fillId="0" borderId="0" xfId="0" applyFont="1"/>
    <xf numFmtId="0" fontId="9" fillId="0" borderId="1" xfId="0" applyFont="1" applyBorder="1"/>
    <xf numFmtId="166" fontId="9" fillId="0" borderId="2" xfId="0" applyNumberFormat="1" applyFont="1" applyBorder="1"/>
    <xf numFmtId="166" fontId="8" fillId="0" borderId="2" xfId="0" applyNumberFormat="1" applyFont="1" applyBorder="1"/>
    <xf numFmtId="0" fontId="9" fillId="0" borderId="3" xfId="0" applyFont="1" applyBorder="1"/>
    <xf numFmtId="166" fontId="0" fillId="0" borderId="0" xfId="0" applyNumberFormat="1"/>
    <xf numFmtId="166" fontId="9" fillId="0" borderId="0" xfId="0" applyNumberFormat="1" applyFont="1"/>
    <xf numFmtId="0" fontId="8" fillId="0" borderId="0" xfId="0" applyFont="1"/>
    <xf numFmtId="0" fontId="4" fillId="3" borderId="0" xfId="0" applyFont="1" applyFill="1"/>
    <xf numFmtId="0" fontId="0" fillId="6" borderId="0" xfId="0" applyFill="1"/>
    <xf numFmtId="0" fontId="5" fillId="6" borderId="0" xfId="0" applyFont="1" applyFill="1"/>
    <xf numFmtId="0" fontId="4" fillId="7" borderId="0" xfId="0" applyFont="1" applyFill="1"/>
    <xf numFmtId="0" fontId="9" fillId="6" borderId="0" xfId="0" applyFont="1" applyFill="1"/>
    <xf numFmtId="0" fontId="14" fillId="2" borderId="0" xfId="0" applyFont="1" applyFill="1"/>
    <xf numFmtId="0" fontId="17" fillId="0" borderId="0" xfId="8" applyFont="1" applyAlignment="1">
      <alignment wrapText="1"/>
    </xf>
    <xf numFmtId="0" fontId="0" fillId="0" borderId="7" xfId="0" applyBorder="1"/>
    <xf numFmtId="0" fontId="0" fillId="0" borderId="0" xfId="0" applyAlignment="1">
      <alignment wrapText="1"/>
    </xf>
    <xf numFmtId="0" fontId="5" fillId="0" borderId="4" xfId="0" applyFont="1" applyBorder="1"/>
    <xf numFmtId="0" fontId="4" fillId="9" borderId="0" xfId="0" applyFont="1" applyFill="1"/>
    <xf numFmtId="0" fontId="19" fillId="0" borderId="0" xfId="0" applyFont="1"/>
    <xf numFmtId="0" fontId="5" fillId="0" borderId="0" xfId="0" applyFont="1" applyAlignment="1">
      <alignment vertical="center" wrapText="1"/>
    </xf>
    <xf numFmtId="0" fontId="14" fillId="0" borderId="0" xfId="0" applyFont="1"/>
    <xf numFmtId="170" fontId="0" fillId="0" borderId="0" xfId="0" applyNumberFormat="1"/>
    <xf numFmtId="0" fontId="9" fillId="8" borderId="0" xfId="0" applyFont="1" applyFill="1"/>
    <xf numFmtId="0" fontId="0" fillId="8" borderId="0" xfId="0" applyFill="1"/>
    <xf numFmtId="166" fontId="0" fillId="8" borderId="0" xfId="0" applyNumberFormat="1" applyFill="1"/>
    <xf numFmtId="0" fontId="0" fillId="5" borderId="0" xfId="0" applyFill="1"/>
    <xf numFmtId="166" fontId="0" fillId="5" borderId="0" xfId="0" applyNumberFormat="1" applyFill="1"/>
    <xf numFmtId="170" fontId="5" fillId="0" borderId="0" xfId="0" applyNumberFormat="1" applyFont="1"/>
    <xf numFmtId="171" fontId="0" fillId="0" borderId="0" xfId="9" applyNumberFormat="1" applyFont="1"/>
    <xf numFmtId="171" fontId="5" fillId="0" borderId="0" xfId="9" applyNumberFormat="1" applyFont="1"/>
    <xf numFmtId="172" fontId="0" fillId="0" borderId="0" xfId="0" applyNumberFormat="1"/>
    <xf numFmtId="172" fontId="5" fillId="0" borderId="0" xfId="0" quotePrefix="1" applyNumberFormat="1" applyFont="1"/>
    <xf numFmtId="172" fontId="5" fillId="0" borderId="0" xfId="0" applyNumberFormat="1" applyFont="1"/>
    <xf numFmtId="165" fontId="0" fillId="5" borderId="0" xfId="0" applyNumberFormat="1" applyFill="1"/>
    <xf numFmtId="3" fontId="0" fillId="5" borderId="0" xfId="0" applyNumberFormat="1" applyFill="1"/>
    <xf numFmtId="0" fontId="5" fillId="5" borderId="0" xfId="0" quotePrefix="1" applyFont="1" applyFill="1"/>
    <xf numFmtId="0" fontId="18" fillId="0" borderId="0" xfId="0" applyFont="1"/>
    <xf numFmtId="0" fontId="20" fillId="10" borderId="8" xfId="0" applyFont="1" applyFill="1" applyBorder="1" applyAlignment="1">
      <alignment horizontal="center" wrapText="1"/>
    </xf>
    <xf numFmtId="0" fontId="21" fillId="10" borderId="8" xfId="0" applyFont="1" applyFill="1" applyBorder="1" applyAlignment="1">
      <alignment horizontal="left" vertical="center"/>
    </xf>
    <xf numFmtId="0" fontId="22" fillId="10" borderId="8" xfId="0" applyFont="1" applyFill="1" applyBorder="1" applyAlignment="1">
      <alignment horizontal="left" vertic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8" fontId="14" fillId="0" borderId="9" xfId="0" applyNumberFormat="1" applyFont="1" applyBorder="1" applyAlignment="1">
      <alignment vertical="center" wrapText="1"/>
    </xf>
    <xf numFmtId="168" fontId="14" fillId="11" borderId="10" xfId="0" applyNumberFormat="1" applyFont="1" applyFill="1" applyBorder="1" applyAlignment="1">
      <alignment vertical="center" wrapText="1"/>
    </xf>
    <xf numFmtId="168" fontId="14" fillId="11" borderId="9" xfId="0" applyNumberFormat="1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23" fillId="0" borderId="0" xfId="0" applyFont="1"/>
    <xf numFmtId="0" fontId="4" fillId="0" borderId="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12" borderId="12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4" fillId="0" borderId="14" xfId="0" applyFont="1" applyBorder="1" applyAlignment="1">
      <alignment wrapText="1"/>
    </xf>
    <xf numFmtId="168" fontId="4" fillId="0" borderId="14" xfId="0" applyNumberFormat="1" applyFont="1" applyBorder="1" applyAlignment="1">
      <alignment wrapText="1"/>
    </xf>
    <xf numFmtId="168" fontId="4" fillId="13" borderId="15" xfId="0" applyNumberFormat="1" applyFont="1" applyFill="1" applyBorder="1" applyAlignment="1">
      <alignment wrapText="1"/>
    </xf>
    <xf numFmtId="168" fontId="4" fillId="14" borderId="15" xfId="0" applyNumberFormat="1" applyFont="1" applyFill="1" applyBorder="1" applyAlignment="1">
      <alignment wrapText="1"/>
    </xf>
    <xf numFmtId="168" fontId="4" fillId="11" borderId="13" xfId="0" applyNumberFormat="1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4" fillId="0" borderId="16" xfId="0" applyFont="1" applyBorder="1" applyAlignment="1">
      <alignment wrapText="1"/>
    </xf>
    <xf numFmtId="168" fontId="4" fillId="0" borderId="16" xfId="0" applyNumberFormat="1" applyFont="1" applyBorder="1" applyAlignment="1">
      <alignment wrapText="1"/>
    </xf>
    <xf numFmtId="0" fontId="24" fillId="15" borderId="12" xfId="0" applyFont="1" applyFill="1" applyBorder="1" applyAlignment="1">
      <alignment vertical="center" wrapText="1"/>
    </xf>
    <xf numFmtId="168" fontId="24" fillId="15" borderId="12" xfId="0" applyNumberFormat="1" applyFont="1" applyFill="1" applyBorder="1" applyAlignment="1">
      <alignment vertical="center" wrapText="1"/>
    </xf>
    <xf numFmtId="168" fontId="24" fillId="15" borderId="17" xfId="0" applyNumberFormat="1" applyFont="1" applyFill="1" applyBorder="1" applyAlignment="1">
      <alignment vertical="center" wrapText="1"/>
    </xf>
    <xf numFmtId="0" fontId="4" fillId="12" borderId="18" xfId="0" applyFont="1" applyFill="1" applyBorder="1" applyAlignment="1">
      <alignment wrapText="1"/>
    </xf>
    <xf numFmtId="0" fontId="4" fillId="12" borderId="19" xfId="0" applyFont="1" applyFill="1" applyBorder="1" applyAlignment="1">
      <alignment wrapText="1"/>
    </xf>
    <xf numFmtId="0" fontId="4" fillId="12" borderId="20" xfId="0" applyFont="1" applyFill="1" applyBorder="1" applyAlignment="1">
      <alignment wrapText="1"/>
    </xf>
    <xf numFmtId="0" fontId="24" fillId="15" borderId="22" xfId="0" applyFont="1" applyFill="1" applyBorder="1" applyAlignment="1">
      <alignment vertical="center" wrapText="1"/>
    </xf>
    <xf numFmtId="4" fontId="24" fillId="15" borderId="23" xfId="0" applyNumberFormat="1" applyFont="1" applyFill="1" applyBorder="1" applyAlignment="1">
      <alignment vertical="center" wrapText="1"/>
    </xf>
    <xf numFmtId="0" fontId="24" fillId="15" borderId="23" xfId="0" applyFont="1" applyFill="1" applyBorder="1" applyAlignment="1">
      <alignment vertical="center" wrapText="1"/>
    </xf>
    <xf numFmtId="169" fontId="24" fillId="15" borderId="23" xfId="0" applyNumberFormat="1" applyFont="1" applyFill="1" applyBorder="1" applyAlignment="1">
      <alignment vertical="center" wrapText="1"/>
    </xf>
    <xf numFmtId="168" fontId="24" fillId="15" borderId="22" xfId="0" applyNumberFormat="1" applyFont="1" applyFill="1" applyBorder="1" applyAlignment="1">
      <alignment vertical="center" wrapText="1"/>
    </xf>
    <xf numFmtId="0" fontId="4" fillId="12" borderId="21" xfId="0" applyFont="1" applyFill="1" applyBorder="1" applyAlignment="1">
      <alignment wrapText="1"/>
    </xf>
    <xf numFmtId="168" fontId="24" fillId="15" borderId="21" xfId="0" applyNumberFormat="1" applyFont="1" applyFill="1" applyBorder="1" applyAlignment="1">
      <alignment vertical="center" wrapText="1"/>
    </xf>
    <xf numFmtId="0" fontId="4" fillId="13" borderId="21" xfId="0" applyFont="1" applyFill="1" applyBorder="1" applyAlignment="1">
      <alignment wrapText="1"/>
    </xf>
    <xf numFmtId="0" fontId="4" fillId="14" borderId="21" xfId="0" applyFont="1" applyFill="1" applyBorder="1" applyAlignment="1">
      <alignment wrapText="1"/>
    </xf>
    <xf numFmtId="168" fontId="4" fillId="13" borderId="13" xfId="0" applyNumberFormat="1" applyFont="1" applyFill="1" applyBorder="1" applyAlignment="1">
      <alignment wrapText="1"/>
    </xf>
    <xf numFmtId="168" fontId="4" fillId="14" borderId="13" xfId="0" applyNumberFormat="1" applyFont="1" applyFill="1" applyBorder="1" applyAlignment="1">
      <alignment wrapText="1"/>
    </xf>
    <xf numFmtId="0" fontId="24" fillId="15" borderId="24" xfId="0" applyFont="1" applyFill="1" applyBorder="1" applyAlignment="1">
      <alignment vertical="center" wrapText="1"/>
    </xf>
    <xf numFmtId="0" fontId="24" fillId="15" borderId="5" xfId="0" applyFont="1" applyFill="1" applyBorder="1" applyAlignment="1">
      <alignment vertical="center" wrapText="1"/>
    </xf>
    <xf numFmtId="169" fontId="24" fillId="15" borderId="5" xfId="0" applyNumberFormat="1" applyFont="1" applyFill="1" applyBorder="1" applyAlignment="1">
      <alignment vertical="center" wrapText="1"/>
    </xf>
    <xf numFmtId="168" fontId="24" fillId="15" borderId="24" xfId="0" applyNumberFormat="1" applyFont="1" applyFill="1" applyBorder="1" applyAlignment="1">
      <alignment vertical="center" wrapText="1"/>
    </xf>
    <xf numFmtId="14" fontId="4" fillId="0" borderId="0" xfId="0" applyNumberFormat="1" applyFont="1"/>
    <xf numFmtId="0" fontId="4" fillId="12" borderId="26" xfId="0" applyFont="1" applyFill="1" applyBorder="1" applyAlignment="1">
      <alignment wrapText="1"/>
    </xf>
    <xf numFmtId="0" fontId="4" fillId="12" borderId="27" xfId="0" applyFont="1" applyFill="1" applyBorder="1" applyAlignment="1">
      <alignment wrapText="1"/>
    </xf>
    <xf numFmtId="0" fontId="4" fillId="12" borderId="1" xfId="0" applyFont="1" applyFill="1" applyBorder="1" applyAlignment="1">
      <alignment wrapText="1"/>
    </xf>
    <xf numFmtId="0" fontId="4" fillId="12" borderId="0" xfId="0" applyFont="1" applyFill="1" applyAlignment="1">
      <alignment wrapText="1"/>
    </xf>
    <xf numFmtId="0" fontId="24" fillId="15" borderId="0" xfId="0" applyFont="1" applyFill="1" applyAlignment="1">
      <alignment vertical="center" wrapText="1"/>
    </xf>
    <xf numFmtId="169" fontId="24" fillId="15" borderId="0" xfId="0" applyNumberFormat="1" applyFont="1" applyFill="1" applyAlignment="1">
      <alignment vertical="center" wrapText="1"/>
    </xf>
    <xf numFmtId="0" fontId="10" fillId="0" borderId="29" xfId="0" applyFont="1" applyBorder="1"/>
    <xf numFmtId="0" fontId="10" fillId="0" borderId="30" xfId="0" applyFont="1" applyBorder="1" applyAlignment="1">
      <alignment horizontal="right"/>
    </xf>
    <xf numFmtId="0" fontId="10" fillId="0" borderId="31" xfId="0" applyFont="1" applyBorder="1" applyAlignment="1">
      <alignment horizontal="left"/>
    </xf>
    <xf numFmtId="0" fontId="8" fillId="0" borderId="29" xfId="0" applyFont="1" applyBorder="1"/>
    <xf numFmtId="166" fontId="9" fillId="0" borderId="30" xfId="0" applyNumberFormat="1" applyFont="1" applyBorder="1"/>
    <xf numFmtId="166" fontId="8" fillId="0" borderId="30" xfId="0" applyNumberFormat="1" applyFont="1" applyBorder="1"/>
    <xf numFmtId="0" fontId="9" fillId="0" borderId="31" xfId="0" applyFont="1" applyBorder="1"/>
    <xf numFmtId="0" fontId="9" fillId="0" borderId="32" xfId="0" applyFont="1" applyBorder="1"/>
    <xf numFmtId="166" fontId="9" fillId="0" borderId="6" xfId="0" applyNumberFormat="1" applyFont="1" applyBorder="1"/>
    <xf numFmtId="166" fontId="8" fillId="0" borderId="6" xfId="0" applyNumberFormat="1" applyFont="1" applyBorder="1"/>
    <xf numFmtId="0" fontId="9" fillId="0" borderId="33" xfId="0" applyFont="1" applyBorder="1"/>
    <xf numFmtId="0" fontId="9" fillId="0" borderId="4" xfId="0" applyFont="1" applyBorder="1"/>
    <xf numFmtId="168" fontId="4" fillId="0" borderId="0" xfId="0" applyNumberFormat="1" applyFont="1" applyAlignment="1">
      <alignment wrapText="1"/>
    </xf>
    <xf numFmtId="168" fontId="24" fillId="0" borderId="0" xfId="0" applyNumberFormat="1" applyFont="1" applyAlignment="1">
      <alignment vertical="center" wrapText="1"/>
    </xf>
    <xf numFmtId="4" fontId="24" fillId="15" borderId="12" xfId="0" applyNumberFormat="1" applyFont="1" applyFill="1" applyBorder="1" applyAlignment="1">
      <alignment vertical="center" wrapText="1"/>
    </xf>
    <xf numFmtId="167" fontId="0" fillId="0" borderId="0" xfId="7" applyNumberFormat="1" applyFont="1"/>
    <xf numFmtId="167" fontId="5" fillId="0" borderId="0" xfId="7" applyNumberFormat="1" applyFont="1"/>
    <xf numFmtId="172" fontId="4" fillId="0" borderId="0" xfId="0" applyNumberFormat="1" applyFont="1"/>
    <xf numFmtId="172" fontId="14" fillId="0" borderId="0" xfId="0" applyNumberFormat="1" applyFont="1"/>
    <xf numFmtId="172" fontId="4" fillId="2" borderId="25" xfId="0" applyNumberFormat="1" applyFont="1" applyFill="1" applyBorder="1"/>
    <xf numFmtId="172" fontId="0" fillId="6" borderId="0" xfId="0" applyNumberFormat="1" applyFill="1"/>
    <xf numFmtId="172" fontId="4" fillId="3" borderId="0" xfId="0" applyNumberFormat="1" applyFont="1" applyFill="1"/>
    <xf numFmtId="172" fontId="5" fillId="6" borderId="0" xfId="0" applyNumberFormat="1" applyFont="1" applyFill="1"/>
    <xf numFmtId="172" fontId="4" fillId="9" borderId="0" xfId="0" applyNumberFormat="1" applyFont="1" applyFill="1"/>
    <xf numFmtId="172" fontId="0" fillId="6" borderId="25" xfId="0" applyNumberFormat="1" applyFill="1" applyBorder="1"/>
    <xf numFmtId="172" fontId="4" fillId="7" borderId="0" xfId="0" applyNumberFormat="1" applyFont="1" applyFill="1" applyAlignment="1">
      <alignment horizontal="center"/>
    </xf>
    <xf numFmtId="172" fontId="4" fillId="3" borderId="0" xfId="0" applyNumberFormat="1" applyFont="1" applyFill="1" applyAlignment="1">
      <alignment horizontal="center"/>
    </xf>
    <xf numFmtId="172" fontId="9" fillId="6" borderId="0" xfId="0" applyNumberFormat="1" applyFont="1" applyFill="1"/>
    <xf numFmtId="172" fontId="14" fillId="2" borderId="0" xfId="0" applyNumberFormat="1" applyFont="1" applyFill="1" applyAlignment="1">
      <alignment horizontal="center"/>
    </xf>
    <xf numFmtId="0" fontId="0" fillId="6" borderId="25" xfId="0" applyFill="1" applyBorder="1"/>
    <xf numFmtId="0" fontId="0" fillId="0" borderId="25" xfId="0" applyBorder="1"/>
    <xf numFmtId="0" fontId="29" fillId="0" borderId="0" xfId="0" applyFont="1"/>
    <xf numFmtId="167" fontId="0" fillId="0" borderId="0" xfId="0" applyNumberFormat="1"/>
    <xf numFmtId="172" fontId="28" fillId="6" borderId="0" xfId="0" applyNumberFormat="1" applyFont="1" applyFill="1"/>
    <xf numFmtId="172" fontId="4" fillId="3" borderId="25" xfId="0" applyNumberFormat="1" applyFont="1" applyFill="1" applyBorder="1"/>
    <xf numFmtId="172" fontId="5" fillId="6" borderId="25" xfId="0" applyNumberFormat="1" applyFont="1" applyFill="1" applyBorder="1"/>
    <xf numFmtId="0" fontId="4" fillId="6" borderId="0" xfId="0" applyFont="1" applyFill="1"/>
    <xf numFmtId="172" fontId="4" fillId="6" borderId="0" xfId="0" applyNumberFormat="1" applyFont="1" applyFill="1"/>
    <xf numFmtId="0" fontId="4" fillId="17" borderId="0" xfId="0" applyFont="1" applyFill="1"/>
    <xf numFmtId="172" fontId="4" fillId="17" borderId="0" xfId="0" applyNumberFormat="1" applyFont="1" applyFill="1"/>
    <xf numFmtId="166" fontId="8" fillId="0" borderId="0" xfId="0" applyNumberFormat="1" applyFont="1"/>
    <xf numFmtId="166" fontId="0" fillId="0" borderId="2" xfId="0" applyNumberFormat="1" applyBorder="1"/>
    <xf numFmtId="0" fontId="0" fillId="0" borderId="2" xfId="0" applyBorder="1"/>
    <xf numFmtId="166" fontId="4" fillId="0" borderId="30" xfId="0" applyNumberFormat="1" applyFont="1" applyBorder="1"/>
    <xf numFmtId="0" fontId="0" fillId="0" borderId="30" xfId="0" applyBorder="1"/>
    <xf numFmtId="166" fontId="9" fillId="0" borderId="34" xfId="0" applyNumberFormat="1" applyFont="1" applyBorder="1"/>
    <xf numFmtId="0" fontId="9" fillId="0" borderId="35" xfId="0" applyFont="1" applyBorder="1"/>
    <xf numFmtId="0" fontId="30" fillId="0" borderId="13" xfId="14" applyBorder="1" applyAlignment="1">
      <alignment wrapText="1"/>
    </xf>
    <xf numFmtId="172" fontId="0" fillId="0" borderId="0" xfId="0" quotePrefix="1" applyNumberFormat="1"/>
    <xf numFmtId="172" fontId="15" fillId="6" borderId="0" xfId="0" applyNumberFormat="1" applyFont="1" applyFill="1"/>
    <xf numFmtId="168" fontId="31" fillId="0" borderId="16" xfId="0" applyNumberFormat="1" applyFont="1" applyBorder="1" applyAlignment="1">
      <alignment wrapText="1"/>
    </xf>
    <xf numFmtId="0" fontId="31" fillId="0" borderId="14" xfId="0" applyFont="1" applyBorder="1" applyAlignment="1">
      <alignment wrapText="1"/>
    </xf>
    <xf numFmtId="168" fontId="31" fillId="0" borderId="14" xfId="0" applyNumberFormat="1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32" fillId="0" borderId="0" xfId="0" applyFont="1"/>
    <xf numFmtId="0" fontId="33" fillId="0" borderId="0" xfId="0" applyFont="1"/>
    <xf numFmtId="164" fontId="15" fillId="0" borderId="0" xfId="0" applyNumberFormat="1" applyFont="1"/>
    <xf numFmtId="0" fontId="15" fillId="0" borderId="0" xfId="0" applyFont="1"/>
    <xf numFmtId="0" fontId="15" fillId="0" borderId="0" xfId="0" quotePrefix="1" applyFont="1"/>
    <xf numFmtId="164" fontId="33" fillId="0" borderId="0" xfId="0" applyNumberFormat="1" applyFont="1"/>
    <xf numFmtId="0" fontId="0" fillId="18" borderId="0" xfId="0" applyFill="1"/>
    <xf numFmtId="166" fontId="0" fillId="18" borderId="0" xfId="0" applyNumberFormat="1" applyFill="1"/>
    <xf numFmtId="0" fontId="0" fillId="3" borderId="0" xfId="0" applyFill="1"/>
    <xf numFmtId="166" fontId="0" fillId="3" borderId="0" xfId="0" applyNumberFormat="1" applyFill="1"/>
    <xf numFmtId="167" fontId="4" fillId="0" borderId="0" xfId="7" applyNumberFormat="1" applyFont="1"/>
    <xf numFmtId="167" fontId="14" fillId="0" borderId="0" xfId="7" applyNumberFormat="1" applyFont="1"/>
    <xf numFmtId="167" fontId="4" fillId="2" borderId="25" xfId="7" applyNumberFormat="1" applyFont="1" applyFill="1" applyBorder="1"/>
    <xf numFmtId="167" fontId="0" fillId="6" borderId="0" xfId="7" applyNumberFormat="1" applyFont="1" applyFill="1"/>
    <xf numFmtId="167" fontId="4" fillId="3" borderId="0" xfId="7" applyNumberFormat="1" applyFont="1" applyFill="1"/>
    <xf numFmtId="167" fontId="5" fillId="6" borderId="0" xfId="7" applyNumberFormat="1" applyFont="1" applyFill="1"/>
    <xf numFmtId="167" fontId="4" fillId="17" borderId="0" xfId="7" applyNumberFormat="1" applyFont="1" applyFill="1"/>
    <xf numFmtId="167" fontId="4" fillId="9" borderId="0" xfId="7" applyNumberFormat="1" applyFont="1" applyFill="1"/>
    <xf numFmtId="167" fontId="0" fillId="6" borderId="25" xfId="7" applyNumberFormat="1" applyFont="1" applyFill="1" applyBorder="1"/>
    <xf numFmtId="167" fontId="4" fillId="3" borderId="25" xfId="7" applyNumberFormat="1" applyFont="1" applyFill="1" applyBorder="1"/>
    <xf numFmtId="167" fontId="4" fillId="7" borderId="0" xfId="7" applyNumberFormat="1" applyFont="1" applyFill="1"/>
    <xf numFmtId="167" fontId="9" fillId="6" borderId="0" xfId="7" applyNumberFormat="1" applyFont="1" applyFill="1"/>
    <xf numFmtId="167" fontId="5" fillId="6" borderId="25" xfId="7" applyNumberFormat="1" applyFont="1" applyFill="1" applyBorder="1"/>
    <xf numFmtId="167" fontId="14" fillId="2" borderId="0" xfId="7" applyNumberFormat="1" applyFont="1" applyFill="1"/>
    <xf numFmtId="0" fontId="6" fillId="20" borderId="0" xfId="0" applyFont="1" applyFill="1"/>
    <xf numFmtId="167" fontId="6" fillId="20" borderId="0" xfId="7" applyNumberFormat="1" applyFont="1" applyFill="1"/>
    <xf numFmtId="0" fontId="4" fillId="20" borderId="0" xfId="0" applyFont="1" applyFill="1"/>
    <xf numFmtId="167" fontId="36" fillId="0" borderId="0" xfId="7" applyNumberFormat="1" applyFont="1"/>
    <xf numFmtId="0" fontId="5" fillId="0" borderId="1" xfId="0" applyFont="1" applyBorder="1"/>
    <xf numFmtId="3" fontId="8" fillId="0" borderId="2" xfId="0" applyNumberFormat="1" applyFont="1" applyBorder="1"/>
    <xf numFmtId="0" fontId="9" fillId="0" borderId="2" xfId="0" applyFont="1" applyBorder="1"/>
    <xf numFmtId="0" fontId="8" fillId="0" borderId="2" xfId="0" applyFont="1" applyBorder="1"/>
    <xf numFmtId="0" fontId="37" fillId="0" borderId="36" xfId="0" applyFont="1" applyBorder="1"/>
    <xf numFmtId="3" fontId="8" fillId="0" borderId="30" xfId="0" applyNumberFormat="1" applyFont="1" applyBorder="1"/>
    <xf numFmtId="0" fontId="9" fillId="0" borderId="30" xfId="0" applyFont="1" applyBorder="1"/>
    <xf numFmtId="0" fontId="8" fillId="0" borderId="30" xfId="0" applyFont="1" applyBorder="1"/>
    <xf numFmtId="3" fontId="8" fillId="0" borderId="6" xfId="0" applyNumberFormat="1" applyFont="1" applyBorder="1"/>
    <xf numFmtId="0" fontId="9" fillId="0" borderId="6" xfId="0" applyFont="1" applyBorder="1"/>
    <xf numFmtId="0" fontId="8" fillId="0" borderId="6" xfId="0" applyFont="1" applyBorder="1"/>
    <xf numFmtId="3" fontId="4" fillId="0" borderId="2" xfId="0" applyNumberFormat="1" applyFont="1" applyBorder="1"/>
    <xf numFmtId="3" fontId="4" fillId="0" borderId="30" xfId="0" applyNumberFormat="1" applyFont="1" applyBorder="1"/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right"/>
    </xf>
    <xf numFmtId="0" fontId="40" fillId="0" borderId="0" xfId="0" applyFont="1" applyAlignment="1">
      <alignment wrapText="1"/>
    </xf>
    <xf numFmtId="0" fontId="41" fillId="21" borderId="0" xfId="0" applyFont="1" applyFill="1"/>
    <xf numFmtId="172" fontId="40" fillId="0" borderId="0" xfId="0" applyNumberFormat="1" applyFont="1"/>
    <xf numFmtId="172" fontId="39" fillId="0" borderId="0" xfId="0" applyNumberFormat="1" applyFont="1"/>
    <xf numFmtId="44" fontId="0" fillId="0" borderId="0" xfId="0" applyNumberFormat="1"/>
    <xf numFmtId="0" fontId="5" fillId="0" borderId="14" xfId="0" applyFont="1" applyBorder="1"/>
    <xf numFmtId="0" fontId="4" fillId="0" borderId="14" xfId="0" quotePrefix="1" applyFont="1" applyBorder="1" applyAlignment="1">
      <alignment wrapText="1"/>
    </xf>
    <xf numFmtId="0" fontId="4" fillId="0" borderId="0" xfId="0" applyFont="1" applyAlignment="1">
      <alignment horizontal="left" wrapText="1"/>
    </xf>
    <xf numFmtId="168" fontId="31" fillId="13" borderId="13" xfId="0" applyNumberFormat="1" applyFont="1" applyFill="1" applyBorder="1" applyAlignment="1">
      <alignment wrapText="1"/>
    </xf>
    <xf numFmtId="3" fontId="9" fillId="0" borderId="0" xfId="0" applyNumberFormat="1" applyFont="1"/>
    <xf numFmtId="0" fontId="32" fillId="0" borderId="0" xfId="0" applyFont="1" applyAlignment="1">
      <alignment horizontal="left"/>
    </xf>
    <xf numFmtId="167" fontId="0" fillId="6" borderId="0" xfId="7" applyNumberFormat="1" applyFont="1" applyFill="1" applyBorder="1"/>
    <xf numFmtId="167" fontId="4" fillId="3" borderId="0" xfId="7" applyNumberFormat="1" applyFont="1" applyFill="1" applyBorder="1"/>
    <xf numFmtId="167" fontId="5" fillId="6" borderId="0" xfId="7" applyNumberFormat="1" applyFont="1" applyFill="1" applyBorder="1"/>
    <xf numFmtId="172" fontId="4" fillId="2" borderId="25" xfId="7" applyNumberFormat="1" applyFont="1" applyFill="1" applyBorder="1"/>
    <xf numFmtId="167" fontId="4" fillId="0" borderId="0" xfId="7" applyNumberFormat="1" applyFont="1" applyFill="1" applyBorder="1"/>
    <xf numFmtId="167" fontId="4" fillId="0" borderId="0" xfId="7" applyNumberFormat="1" applyFont="1" applyFill="1"/>
    <xf numFmtId="172" fontId="4" fillId="0" borderId="0" xfId="0" applyNumberFormat="1" applyFont="1" applyAlignment="1">
      <alignment horizontal="center"/>
    </xf>
    <xf numFmtId="0" fontId="34" fillId="19" borderId="0" xfId="0" applyFont="1" applyFill="1" applyAlignment="1">
      <alignment horizontal="left" vertical="center"/>
    </xf>
    <xf numFmtId="167" fontId="34" fillId="19" borderId="0" xfId="7" applyNumberFormat="1" applyFont="1" applyFill="1" applyBorder="1" applyAlignment="1">
      <alignment horizontal="left" vertical="center"/>
    </xf>
    <xf numFmtId="0" fontId="35" fillId="16" borderId="0" xfId="0" applyFont="1" applyFill="1" applyAlignment="1">
      <alignment horizontal="left" vertical="center" wrapText="1"/>
    </xf>
    <xf numFmtId="0" fontId="0" fillId="16" borderId="0" xfId="0" applyFill="1"/>
    <xf numFmtId="167" fontId="35" fillId="16" borderId="0" xfId="7" applyNumberFormat="1" applyFont="1" applyFill="1" applyBorder="1" applyAlignment="1">
      <alignment horizontal="left" vertical="center" wrapText="1"/>
    </xf>
    <xf numFmtId="172" fontId="35" fillId="16" borderId="0" xfId="0" applyNumberFormat="1" applyFont="1" applyFill="1" applyAlignment="1">
      <alignment horizontal="left" vertical="center" wrapText="1"/>
    </xf>
    <xf numFmtId="167" fontId="5" fillId="6" borderId="0" xfId="7" applyNumberFormat="1" applyFont="1" applyFill="1" applyAlignment="1">
      <alignment vertical="center"/>
    </xf>
    <xf numFmtId="0" fontId="8" fillId="0" borderId="38" xfId="0" applyFont="1" applyBorder="1"/>
    <xf numFmtId="0" fontId="9" fillId="0" borderId="39" xfId="0" applyFont="1" applyBorder="1"/>
    <xf numFmtId="0" fontId="9" fillId="0" borderId="40" xfId="0" applyFont="1" applyBorder="1"/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14" fillId="0" borderId="21" xfId="0" applyFont="1" applyBorder="1"/>
    <xf numFmtId="0" fontId="9" fillId="0" borderId="37" xfId="0" applyFont="1" applyBorder="1"/>
    <xf numFmtId="42" fontId="0" fillId="0" borderId="0" xfId="0" applyNumberFormat="1"/>
    <xf numFmtId="42" fontId="5" fillId="0" borderId="0" xfId="0" applyNumberFormat="1" applyFont="1"/>
    <xf numFmtId="42" fontId="4" fillId="0" borderId="0" xfId="0" applyNumberFormat="1" applyFont="1"/>
    <xf numFmtId="0" fontId="5" fillId="0" borderId="41" xfId="0" applyFont="1" applyBorder="1"/>
    <xf numFmtId="166" fontId="9" fillId="0" borderId="42" xfId="0" applyNumberFormat="1" applyFont="1" applyBorder="1"/>
    <xf numFmtId="0" fontId="27" fillId="0" borderId="43" xfId="0" applyFont="1" applyBorder="1"/>
    <xf numFmtId="166" fontId="9" fillId="0" borderId="44" xfId="0" applyNumberFormat="1" applyFont="1" applyBorder="1"/>
    <xf numFmtId="0" fontId="27" fillId="0" borderId="45" xfId="0" applyFont="1" applyBorder="1"/>
    <xf numFmtId="166" fontId="9" fillId="0" borderId="46" xfId="0" applyNumberFormat="1" applyFont="1" applyBorder="1"/>
    <xf numFmtId="0" fontId="9" fillId="0" borderId="47" xfId="0" applyFont="1" applyBorder="1"/>
    <xf numFmtId="0" fontId="9" fillId="0" borderId="45" xfId="0" applyFont="1" applyBorder="1"/>
    <xf numFmtId="0" fontId="9" fillId="0" borderId="41" xfId="0" applyFont="1" applyBorder="1"/>
    <xf numFmtId="0" fontId="9" fillId="0" borderId="43" xfId="0" applyFont="1" applyBorder="1"/>
    <xf numFmtId="0" fontId="8" fillId="0" borderId="49" xfId="0" applyFont="1" applyBorder="1"/>
    <xf numFmtId="166" fontId="9" fillId="0" borderId="50" xfId="0" applyNumberFormat="1" applyFont="1" applyBorder="1"/>
    <xf numFmtId="0" fontId="9" fillId="0" borderId="51" xfId="0" applyFont="1" applyBorder="1"/>
    <xf numFmtId="173" fontId="0" fillId="0" borderId="2" xfId="0" applyNumberFormat="1" applyBorder="1"/>
    <xf numFmtId="173" fontId="0" fillId="0" borderId="42" xfId="0" applyNumberFormat="1" applyBorder="1"/>
    <xf numFmtId="0" fontId="9" fillId="0" borderId="52" xfId="0" applyFont="1" applyBorder="1"/>
    <xf numFmtId="166" fontId="0" fillId="0" borderId="46" xfId="0" applyNumberFormat="1" applyBorder="1"/>
    <xf numFmtId="3" fontId="4" fillId="0" borderId="0" xfId="0" applyNumberFormat="1" applyFont="1"/>
    <xf numFmtId="166" fontId="8" fillId="0" borderId="42" xfId="0" applyNumberFormat="1" applyFont="1" applyBorder="1"/>
    <xf numFmtId="0" fontId="11" fillId="0" borderId="0" xfId="0" applyFont="1"/>
    <xf numFmtId="174" fontId="6" fillId="0" borderId="0" xfId="7" applyNumberFormat="1" applyFont="1"/>
    <xf numFmtId="174" fontId="0" fillId="0" borderId="0" xfId="7" applyNumberFormat="1" applyFont="1"/>
    <xf numFmtId="0" fontId="44" fillId="0" borderId="0" xfId="0" applyFont="1"/>
    <xf numFmtId="46" fontId="0" fillId="0" borderId="0" xfId="0" applyNumberFormat="1"/>
    <xf numFmtId="165" fontId="0" fillId="0" borderId="0" xfId="7" applyFont="1"/>
    <xf numFmtId="0" fontId="1" fillId="0" borderId="0" xfId="0" applyFont="1" applyAlignment="1">
      <alignment horizontal="left" vertical="center" indent="4"/>
    </xf>
    <xf numFmtId="174" fontId="6" fillId="0" borderId="0" xfId="0" applyNumberFormat="1" applyFont="1"/>
    <xf numFmtId="172" fontId="6" fillId="0" borderId="0" xfId="0" applyNumberFormat="1" applyFont="1"/>
    <xf numFmtId="170" fontId="6" fillId="0" borderId="0" xfId="7" applyNumberFormat="1" applyFont="1" applyAlignment="1">
      <alignment horizontal="right"/>
    </xf>
    <xf numFmtId="167" fontId="5" fillId="0" borderId="0" xfId="0" applyNumberFormat="1" applyFont="1"/>
    <xf numFmtId="167" fontId="5" fillId="0" borderId="0" xfId="7" applyNumberFormat="1" applyFont="1" applyBorder="1"/>
    <xf numFmtId="167" fontId="46" fillId="0" borderId="0" xfId="7" applyNumberFormat="1" applyFont="1" applyFill="1" applyBorder="1" applyAlignment="1" applyProtection="1"/>
    <xf numFmtId="49" fontId="0" fillId="0" borderId="0" xfId="0" applyNumberFormat="1" applyAlignment="1">
      <alignment horizontal="center"/>
    </xf>
    <xf numFmtId="10" fontId="0" fillId="0" borderId="0" xfId="0" applyNumberFormat="1"/>
    <xf numFmtId="172" fontId="0" fillId="0" borderId="0" xfId="0" applyNumberFormat="1" applyAlignment="1">
      <alignment horizontal="center"/>
    </xf>
    <xf numFmtId="167" fontId="15" fillId="6" borderId="0" xfId="7" applyNumberFormat="1" applyFont="1" applyFill="1" applyAlignment="1">
      <alignment vertical="center"/>
    </xf>
    <xf numFmtId="0" fontId="4" fillId="2" borderId="25" xfId="0" applyFont="1" applyFill="1" applyBorder="1"/>
    <xf numFmtId="0" fontId="4" fillId="3" borderId="25" xfId="0" applyFont="1" applyFill="1" applyBorder="1"/>
    <xf numFmtId="0" fontId="4" fillId="3" borderId="53" xfId="0" applyFont="1" applyFill="1" applyBorder="1"/>
    <xf numFmtId="167" fontId="4" fillId="3" borderId="53" xfId="7" applyNumberFormat="1" applyFont="1" applyFill="1" applyBorder="1"/>
    <xf numFmtId="172" fontId="4" fillId="3" borderId="53" xfId="0" applyNumberFormat="1" applyFont="1" applyFill="1" applyBorder="1"/>
    <xf numFmtId="0" fontId="4" fillId="7" borderId="53" xfId="0" applyFont="1" applyFill="1" applyBorder="1"/>
    <xf numFmtId="167" fontId="4" fillId="7" borderId="53" xfId="7" applyNumberFormat="1" applyFont="1" applyFill="1" applyBorder="1"/>
    <xf numFmtId="0" fontId="5" fillId="6" borderId="25" xfId="0" applyFont="1" applyFill="1" applyBorder="1"/>
    <xf numFmtId="0" fontId="12" fillId="2" borderId="54" xfId="0" applyFont="1" applyFill="1" applyBorder="1"/>
    <xf numFmtId="172" fontId="12" fillId="2" borderId="54" xfId="0" applyNumberFormat="1" applyFont="1" applyFill="1" applyBorder="1"/>
    <xf numFmtId="171" fontId="12" fillId="2" borderId="54" xfId="9" applyNumberFormat="1" applyFont="1" applyFill="1" applyBorder="1"/>
    <xf numFmtId="170" fontId="12" fillId="2" borderId="54" xfId="0" applyNumberFormat="1" applyFont="1" applyFill="1" applyBorder="1"/>
    <xf numFmtId="167" fontId="12" fillId="2" borderId="54" xfId="7" applyNumberFormat="1" applyFont="1" applyFill="1" applyBorder="1"/>
    <xf numFmtId="165" fontId="12" fillId="5" borderId="54" xfId="0" applyNumberFormat="1" applyFont="1" applyFill="1" applyBorder="1"/>
    <xf numFmtId="3" fontId="12" fillId="5" borderId="54" xfId="0" applyNumberFormat="1" applyFont="1" applyFill="1" applyBorder="1"/>
    <xf numFmtId="0" fontId="11" fillId="4" borderId="55" xfId="0" applyFont="1" applyFill="1" applyBorder="1"/>
    <xf numFmtId="170" fontId="11" fillId="4" borderId="55" xfId="0" applyNumberFormat="1" applyFont="1" applyFill="1" applyBorder="1"/>
    <xf numFmtId="167" fontId="11" fillId="4" borderId="55" xfId="7" applyNumberFormat="1" applyFont="1" applyFill="1" applyBorder="1"/>
    <xf numFmtId="172" fontId="11" fillId="4" borderId="55" xfId="0" applyNumberFormat="1" applyFont="1" applyFill="1" applyBorder="1"/>
    <xf numFmtId="165" fontId="11" fillId="5" borderId="55" xfId="0" applyNumberFormat="1" applyFont="1" applyFill="1" applyBorder="1"/>
    <xf numFmtId="3" fontId="11" fillId="5" borderId="55" xfId="0" applyNumberFormat="1" applyFont="1" applyFill="1" applyBorder="1"/>
    <xf numFmtId="0" fontId="4" fillId="12" borderId="42" xfId="0" applyFont="1" applyFill="1" applyBorder="1" applyAlignment="1">
      <alignment wrapText="1"/>
    </xf>
    <xf numFmtId="0" fontId="4" fillId="12" borderId="43" xfId="0" applyFont="1" applyFill="1" applyBorder="1" applyAlignment="1">
      <alignment wrapText="1"/>
    </xf>
    <xf numFmtId="0" fontId="4" fillId="0" borderId="56" xfId="0" applyFont="1" applyBorder="1" applyAlignment="1">
      <alignment wrapText="1"/>
    </xf>
    <xf numFmtId="0" fontId="5" fillId="0" borderId="57" xfId="0" applyFont="1" applyBorder="1" applyAlignment="1">
      <alignment wrapText="1"/>
    </xf>
    <xf numFmtId="0" fontId="4" fillId="0" borderId="57" xfId="0" applyFont="1" applyBorder="1" applyAlignment="1">
      <alignment wrapText="1"/>
    </xf>
    <xf numFmtId="168" fontId="4" fillId="0" borderId="57" xfId="0" applyNumberFormat="1" applyFont="1" applyBorder="1" applyAlignment="1">
      <alignment wrapText="1"/>
    </xf>
    <xf numFmtId="0" fontId="4" fillId="18" borderId="58" xfId="0" applyFont="1" applyFill="1" applyBorder="1"/>
    <xf numFmtId="166" fontId="8" fillId="18" borderId="58" xfId="0" applyNumberFormat="1" applyFont="1" applyFill="1" applyBorder="1" applyAlignment="1">
      <alignment horizontal="right"/>
    </xf>
    <xf numFmtId="0" fontId="8" fillId="18" borderId="58" xfId="0" applyFont="1" applyFill="1" applyBorder="1"/>
    <xf numFmtId="0" fontId="8" fillId="0" borderId="58" xfId="0" applyFont="1" applyBorder="1"/>
    <xf numFmtId="0" fontId="4" fillId="3" borderId="58" xfId="0" applyFont="1" applyFill="1" applyBorder="1"/>
    <xf numFmtId="166" fontId="8" fillId="3" borderId="58" xfId="0" applyNumberFormat="1" applyFont="1" applyFill="1" applyBorder="1" applyAlignment="1">
      <alignment horizontal="right"/>
    </xf>
    <xf numFmtId="0" fontId="8" fillId="3" borderId="58" xfId="0" applyFont="1" applyFill="1" applyBorder="1"/>
    <xf numFmtId="0" fontId="4" fillId="5" borderId="58" xfId="0" applyFont="1" applyFill="1" applyBorder="1"/>
    <xf numFmtId="166" fontId="8" fillId="5" borderId="58" xfId="0" applyNumberFormat="1" applyFont="1" applyFill="1" applyBorder="1" applyAlignment="1">
      <alignment horizontal="right"/>
    </xf>
    <xf numFmtId="0" fontId="8" fillId="5" borderId="58" xfId="0" applyFont="1" applyFill="1" applyBorder="1"/>
    <xf numFmtId="0" fontId="4" fillId="8" borderId="58" xfId="0" applyFont="1" applyFill="1" applyBorder="1"/>
    <xf numFmtId="166" fontId="8" fillId="8" borderId="58" xfId="0" applyNumberFormat="1" applyFont="1" applyFill="1" applyBorder="1" applyAlignment="1">
      <alignment horizontal="right"/>
    </xf>
    <xf numFmtId="0" fontId="8" fillId="8" borderId="58" xfId="0" applyFont="1" applyFill="1" applyBorder="1"/>
    <xf numFmtId="0" fontId="9" fillId="18" borderId="58" xfId="0" applyFont="1" applyFill="1" applyBorder="1"/>
    <xf numFmtId="166" fontId="0" fillId="18" borderId="58" xfId="0" applyNumberFormat="1" applyFill="1" applyBorder="1"/>
    <xf numFmtId="0" fontId="9" fillId="0" borderId="58" xfId="0" applyFont="1" applyBorder="1"/>
    <xf numFmtId="0" fontId="9" fillId="3" borderId="58" xfId="0" applyFont="1" applyFill="1" applyBorder="1"/>
    <xf numFmtId="166" fontId="0" fillId="3" borderId="58" xfId="0" applyNumberFormat="1" applyFill="1" applyBorder="1"/>
    <xf numFmtId="0" fontId="9" fillId="5" borderId="58" xfId="0" applyFont="1" applyFill="1" applyBorder="1"/>
    <xf numFmtId="166" fontId="0" fillId="5" borderId="58" xfId="0" applyNumberFormat="1" applyFill="1" applyBorder="1"/>
    <xf numFmtId="0" fontId="9" fillId="8" borderId="58" xfId="0" applyFont="1" applyFill="1" applyBorder="1"/>
    <xf numFmtId="166" fontId="0" fillId="8" borderId="58" xfId="0" applyNumberFormat="1" applyFill="1" applyBorder="1"/>
    <xf numFmtId="166" fontId="15" fillId="18" borderId="58" xfId="0" applyNumberFormat="1" applyFont="1" applyFill="1" applyBorder="1"/>
    <xf numFmtId="166" fontId="15" fillId="3" borderId="58" xfId="0" applyNumberFormat="1" applyFont="1" applyFill="1" applyBorder="1"/>
    <xf numFmtId="166" fontId="15" fillId="5" borderId="58" xfId="0" applyNumberFormat="1" applyFont="1" applyFill="1" applyBorder="1"/>
    <xf numFmtId="166" fontId="4" fillId="18" borderId="58" xfId="0" applyNumberFormat="1" applyFont="1" applyFill="1" applyBorder="1"/>
    <xf numFmtId="166" fontId="4" fillId="3" borderId="58" xfId="0" applyNumberFormat="1" applyFont="1" applyFill="1" applyBorder="1"/>
    <xf numFmtId="166" fontId="4" fillId="5" borderId="58" xfId="0" applyNumberFormat="1" applyFont="1" applyFill="1" applyBorder="1"/>
    <xf numFmtId="166" fontId="4" fillId="8" borderId="58" xfId="0" applyNumberFormat="1" applyFont="1" applyFill="1" applyBorder="1"/>
    <xf numFmtId="3" fontId="8" fillId="0" borderId="42" xfId="0" applyNumberFormat="1" applyFont="1" applyBorder="1"/>
    <xf numFmtId="0" fontId="9" fillId="0" borderId="42" xfId="0" applyFont="1" applyBorder="1"/>
    <xf numFmtId="0" fontId="8" fillId="0" borderId="42" xfId="0" applyFont="1" applyBorder="1"/>
    <xf numFmtId="0" fontId="37" fillId="0" borderId="43" xfId="0" applyFont="1" applyBorder="1"/>
    <xf numFmtId="0" fontId="38" fillId="0" borderId="43" xfId="0" applyFont="1" applyBorder="1"/>
    <xf numFmtId="0" fontId="5" fillId="3" borderId="41" xfId="0" applyFont="1" applyFill="1" applyBorder="1"/>
    <xf numFmtId="166" fontId="9" fillId="3" borderId="42" xfId="0" applyNumberFormat="1" applyFont="1" applyFill="1" applyBorder="1"/>
    <xf numFmtId="166" fontId="8" fillId="3" borderId="42" xfId="0" applyNumberFormat="1" applyFont="1" applyFill="1" applyBorder="1"/>
    <xf numFmtId="0" fontId="27" fillId="3" borderId="43" xfId="0" applyFont="1" applyFill="1" applyBorder="1"/>
    <xf numFmtId="166" fontId="8" fillId="0" borderId="44" xfId="0" applyNumberFormat="1" applyFont="1" applyBorder="1"/>
    <xf numFmtId="3" fontId="8" fillId="0" borderId="44" xfId="0" applyNumberFormat="1" applyFont="1" applyBorder="1"/>
    <xf numFmtId="0" fontId="9" fillId="0" borderId="44" xfId="0" applyFont="1" applyBorder="1"/>
    <xf numFmtId="0" fontId="8" fillId="0" borderId="44" xfId="0" applyFont="1" applyBorder="1"/>
    <xf numFmtId="0" fontId="37" fillId="0" borderId="45" xfId="0" applyFont="1" applyBorder="1"/>
    <xf numFmtId="0" fontId="9" fillId="0" borderId="46" xfId="0" applyFont="1" applyBorder="1"/>
    <xf numFmtId="166" fontId="0" fillId="0" borderId="42" xfId="0" applyNumberFormat="1" applyBorder="1"/>
    <xf numFmtId="0" fontId="0" fillId="0" borderId="42" xfId="0" applyBorder="1"/>
    <xf numFmtId="166" fontId="0" fillId="0" borderId="44" xfId="0" applyNumberFormat="1" applyBorder="1"/>
    <xf numFmtId="0" fontId="0" fillId="0" borderId="44" xfId="0" applyBorder="1"/>
    <xf numFmtId="0" fontId="9" fillId="0" borderId="59" xfId="0" applyFont="1" applyBorder="1"/>
    <xf numFmtId="3" fontId="4" fillId="0" borderId="42" xfId="0" applyNumberFormat="1" applyFont="1" applyBorder="1"/>
    <xf numFmtId="3" fontId="4" fillId="0" borderId="44" xfId="0" applyNumberFormat="1" applyFont="1" applyBorder="1"/>
    <xf numFmtId="0" fontId="17" fillId="0" borderId="59" xfId="8" applyFont="1" applyBorder="1" applyAlignment="1">
      <alignment wrapText="1"/>
    </xf>
    <xf numFmtId="168" fontId="24" fillId="15" borderId="42" xfId="0" applyNumberFormat="1" applyFont="1" applyFill="1" applyBorder="1" applyAlignment="1">
      <alignment vertical="center" wrapText="1"/>
    </xf>
    <xf numFmtId="168" fontId="24" fillId="15" borderId="43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7" fillId="8" borderId="2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18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48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32" fillId="0" borderId="0" xfId="0" applyFont="1" applyAlignment="1">
      <alignment horizontal="left"/>
    </xf>
    <xf numFmtId="0" fontId="43" fillId="0" borderId="0" xfId="0" applyFont="1" applyAlignment="1">
      <alignment horizontal="center"/>
    </xf>
  </cellXfs>
  <cellStyles count="15">
    <cellStyle name="Hyperkobling" xfId="14" builtinId="8"/>
    <cellStyle name="Komma" xfId="9" builtinId="3"/>
    <cellStyle name="Komma 2" xfId="13" xr:uid="{8AD5F6DB-4250-496E-9683-85DBA07821D6}"/>
    <cellStyle name="Normal" xfId="0" builtinId="0"/>
    <cellStyle name="Normal 10" xfId="6" xr:uid="{00000000-0005-0000-0000-000001000000}"/>
    <cellStyle name="Normal 2" xfId="8" xr:uid="{00000000-0005-0000-0000-000002000000}"/>
    <cellStyle name="Normal 21" xfId="4" xr:uid="{00000000-0005-0000-0000-000003000000}"/>
    <cellStyle name="Normal 24" xfId="5" xr:uid="{00000000-0005-0000-0000-000004000000}"/>
    <cellStyle name="Normal 25" xfId="1" xr:uid="{00000000-0005-0000-0000-000005000000}"/>
    <cellStyle name="Normal 25 2" xfId="10" xr:uid="{CDF8E12D-D438-42BC-8B9B-FC5023111A4A}"/>
    <cellStyle name="Normal 33" xfId="2" xr:uid="{00000000-0005-0000-0000-000006000000}"/>
    <cellStyle name="Normal 37" xfId="3" xr:uid="{00000000-0005-0000-0000-000007000000}"/>
    <cellStyle name="Prosent 2" xfId="12" xr:uid="{299E61A8-378B-4D35-8E0E-8DA875D40E6C}"/>
    <cellStyle name="Valuta" xfId="7" builtinId="4"/>
    <cellStyle name="Valuta 2" xfId="11" xr:uid="{97E9D366-9D7C-423F-8D3F-C2930814F9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0</xdr:rowOff>
    </xdr:from>
    <xdr:to>
      <xdr:col>0</xdr:col>
      <xdr:colOff>762000</xdr:colOff>
      <xdr:row>3</xdr:row>
      <xdr:rowOff>59690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425552D-8A6B-47AE-B5CC-D0319F04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0"/>
          <a:ext cx="647699" cy="1031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lan\AppData\Local\Microsoft\Windows\INetCache\Content.Outlook\S0CA82OT\Forslag%20budsjett%20I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sjett IR"/>
      <sheetName val="Noen grunnlagstall"/>
      <sheetName val="Budsjett påskesamling 2022"/>
    </sheetNames>
    <sheetDataSet>
      <sheetData sheetId="0"/>
      <sheetData sheetId="1">
        <row r="3">
          <cell r="B3">
            <v>55000</v>
          </cell>
          <cell r="C3">
            <v>55000</v>
          </cell>
          <cell r="F3">
            <v>30000</v>
          </cell>
          <cell r="G3">
            <v>30000</v>
          </cell>
        </row>
        <row r="4">
          <cell r="F4">
            <v>0</v>
          </cell>
        </row>
        <row r="5">
          <cell r="B5">
            <v>100000</v>
          </cell>
          <cell r="C5">
            <v>100000</v>
          </cell>
        </row>
        <row r="6">
          <cell r="B6">
            <v>60000</v>
          </cell>
          <cell r="C6">
            <v>60000</v>
          </cell>
        </row>
        <row r="7">
          <cell r="B7">
            <v>45000</v>
          </cell>
          <cell r="C7">
            <v>45000</v>
          </cell>
          <cell r="D7">
            <v>45000</v>
          </cell>
        </row>
        <row r="8">
          <cell r="B8">
            <v>32000</v>
          </cell>
          <cell r="C8">
            <v>32000</v>
          </cell>
        </row>
        <row r="9">
          <cell r="G9">
            <v>70000</v>
          </cell>
          <cell r="H9">
            <v>70000</v>
          </cell>
        </row>
        <row r="10">
          <cell r="J10">
            <v>90000</v>
          </cell>
        </row>
        <row r="12">
          <cell r="B12">
            <v>292000</v>
          </cell>
          <cell r="C12">
            <v>292000</v>
          </cell>
          <cell r="D12">
            <v>45000</v>
          </cell>
          <cell r="E12">
            <v>0</v>
          </cell>
          <cell r="F12">
            <v>30000</v>
          </cell>
          <cell r="G12">
            <v>100000</v>
          </cell>
          <cell r="H12">
            <v>70000</v>
          </cell>
          <cell r="J12">
            <v>90000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idgensdag.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123"/>
  <sheetViews>
    <sheetView topLeftCell="A105" zoomScale="130" zoomScaleNormal="130" workbookViewId="0">
      <selection activeCell="B54" sqref="B54"/>
    </sheetView>
  </sheetViews>
  <sheetFormatPr baseColWidth="10" defaultColWidth="11.44140625" defaultRowHeight="13.2"/>
  <cols>
    <col min="1" max="1" width="43.5546875" bestFit="1" customWidth="1"/>
    <col min="2" max="2" width="16.109375" style="38" bestFit="1" customWidth="1"/>
    <col min="3" max="3" width="25" style="38" bestFit="1" customWidth="1"/>
    <col min="4" max="4" width="29.109375" style="117" customWidth="1"/>
    <col min="5" max="5" width="45.6640625" style="117" bestFit="1" customWidth="1"/>
    <col min="6" max="6" width="35" style="38" bestFit="1" customWidth="1"/>
    <col min="7" max="7" width="12.6640625" bestFit="1" customWidth="1"/>
  </cols>
  <sheetData>
    <row r="1" spans="1:7" s="26" customFormat="1" ht="24.6">
      <c r="A1" s="354" t="s">
        <v>0</v>
      </c>
      <c r="B1" s="354"/>
      <c r="C1" s="354"/>
      <c r="D1" s="354"/>
      <c r="E1" s="354"/>
      <c r="F1" s="354"/>
    </row>
    <row r="2" spans="1:7" s="1" customFormat="1">
      <c r="B2" s="119"/>
      <c r="C2" s="119"/>
      <c r="D2" s="166"/>
      <c r="E2" s="166"/>
      <c r="F2" s="119"/>
    </row>
    <row r="3" spans="1:7" s="1" customFormat="1" ht="15.6">
      <c r="A3" s="28" t="s">
        <v>1</v>
      </c>
      <c r="B3" s="120"/>
      <c r="C3" s="120"/>
      <c r="D3" s="167"/>
      <c r="E3" s="167"/>
      <c r="F3" s="120"/>
    </row>
    <row r="4" spans="1:7">
      <c r="A4" s="273" t="s">
        <v>2</v>
      </c>
      <c r="B4" s="121" t="s">
        <v>1</v>
      </c>
      <c r="C4" s="214" t="s">
        <v>3</v>
      </c>
      <c r="D4" s="168" t="s">
        <v>4</v>
      </c>
      <c r="E4" s="168" t="s">
        <v>5</v>
      </c>
      <c r="F4" s="121" t="s">
        <v>6</v>
      </c>
    </row>
    <row r="5" spans="1:7">
      <c r="A5" s="16" t="s">
        <v>7</v>
      </c>
      <c r="B5" s="122">
        <f>-(6890*250)-(800*100)-(400*50)</f>
        <v>-1822500</v>
      </c>
      <c r="C5" s="122">
        <v>-1790000</v>
      </c>
      <c r="D5" s="169">
        <f>-(7400*250)+(500*100)+(250*50)</f>
        <v>-1787500</v>
      </c>
      <c r="E5" s="171" t="s">
        <v>8</v>
      </c>
      <c r="F5" s="122" t="s">
        <v>9</v>
      </c>
    </row>
    <row r="6" spans="1:7">
      <c r="A6" s="16" t="s">
        <v>10</v>
      </c>
      <c r="B6" s="122">
        <f>-Serviceavgift!N3/17*20</f>
        <v>-4601794.7058823528</v>
      </c>
      <c r="C6" s="122">
        <v>-4588235</v>
      </c>
      <c r="D6" s="169">
        <v>-3900000</v>
      </c>
      <c r="E6" s="171" t="s">
        <v>11</v>
      </c>
      <c r="F6" s="122"/>
    </row>
    <row r="7" spans="1:7">
      <c r="A7" s="16" t="s">
        <v>12</v>
      </c>
      <c r="B7" s="122">
        <f>-285*1400</f>
        <v>-399000</v>
      </c>
      <c r="C7" s="122">
        <v>-400000</v>
      </c>
      <c r="D7" s="169">
        <f>-290*1400</f>
        <v>-406000</v>
      </c>
      <c r="E7" s="171" t="s">
        <v>13</v>
      </c>
      <c r="F7" s="122"/>
    </row>
    <row r="8" spans="1:7">
      <c r="A8" s="16" t="s">
        <v>14</v>
      </c>
      <c r="B8" s="122">
        <v>-180000</v>
      </c>
      <c r="C8" s="122">
        <v>-180000</v>
      </c>
      <c r="D8" s="169">
        <f>-180000</f>
        <v>-180000</v>
      </c>
      <c r="E8" s="169"/>
      <c r="F8" s="122"/>
    </row>
    <row r="9" spans="1:7" s="1" customFormat="1">
      <c r="A9" s="15" t="s">
        <v>15</v>
      </c>
      <c r="B9" s="170">
        <f t="shared" ref="B9:C9" si="0">SUM(B5:B8)</f>
        <v>-7003294.7058823528</v>
      </c>
      <c r="C9" s="170">
        <f t="shared" si="0"/>
        <v>-6958235</v>
      </c>
      <c r="D9" s="170">
        <f>SUM(D5:D8)</f>
        <v>-6273500</v>
      </c>
      <c r="E9" s="170"/>
      <c r="F9" s="123"/>
      <c r="G9" s="119"/>
    </row>
    <row r="11" spans="1:7">
      <c r="A11" s="16" t="s">
        <v>16</v>
      </c>
      <c r="B11" s="122">
        <f>-Turneringer!B10</f>
        <v>-1463800</v>
      </c>
      <c r="C11" s="122">
        <v>-1568400</v>
      </c>
      <c r="D11" s="169">
        <f>-Turneringer!G10</f>
        <v>-1568400</v>
      </c>
      <c r="E11" s="169"/>
      <c r="F11" s="122"/>
    </row>
    <row r="12" spans="1:7">
      <c r="A12" s="17" t="s">
        <v>17</v>
      </c>
      <c r="B12" s="124">
        <f>-Turneringer!B21</f>
        <v>-272400</v>
      </c>
      <c r="C12" s="124">
        <v>-265200</v>
      </c>
      <c r="D12" s="171">
        <f>-Turneringer!G21</f>
        <v>-265200</v>
      </c>
      <c r="E12" s="171"/>
      <c r="F12" s="122"/>
    </row>
    <row r="13" spans="1:7">
      <c r="A13" s="16" t="s">
        <v>18</v>
      </c>
      <c r="B13" s="122">
        <f>-Turneringer!B24</f>
        <v>-176000</v>
      </c>
      <c r="C13" s="122">
        <v>-180000</v>
      </c>
      <c r="D13" s="169">
        <f>-Turneringer!G24</f>
        <v>-176000</v>
      </c>
      <c r="E13" s="169"/>
      <c r="F13" s="122"/>
    </row>
    <row r="14" spans="1:7">
      <c r="A14" s="16" t="s">
        <v>19</v>
      </c>
      <c r="B14" s="122">
        <f>-Turneringer!B39</f>
        <v>-154000</v>
      </c>
      <c r="C14" s="122">
        <v>-150000</v>
      </c>
      <c r="D14" s="169">
        <v>-150000</v>
      </c>
      <c r="E14" s="169"/>
      <c r="F14" s="122"/>
    </row>
    <row r="15" spans="1:7">
      <c r="A15" s="16" t="s">
        <v>20</v>
      </c>
      <c r="B15" s="122">
        <f>-BfA!B24</f>
        <v>-660000</v>
      </c>
      <c r="C15" s="122">
        <v>-500000</v>
      </c>
      <c r="D15" s="169">
        <v>-500000</v>
      </c>
      <c r="E15" s="169"/>
      <c r="F15" s="122"/>
    </row>
    <row r="16" spans="1:7">
      <c r="A16" s="16" t="s">
        <v>21</v>
      </c>
      <c r="B16" s="122">
        <f>Festivalen!B15</f>
        <v>-934950</v>
      </c>
      <c r="C16" s="122">
        <v>-1129500</v>
      </c>
      <c r="D16" s="169">
        <f>Festivalen!E15</f>
        <v>-1289500</v>
      </c>
      <c r="E16" s="169"/>
      <c r="F16" s="122"/>
    </row>
    <row r="17" spans="1:6">
      <c r="A17" s="17" t="s">
        <v>22</v>
      </c>
      <c r="B17" s="124">
        <v>-350000</v>
      </c>
      <c r="C17" s="124">
        <v>-350000</v>
      </c>
      <c r="D17" s="171">
        <v>-350000</v>
      </c>
      <c r="E17" s="171"/>
      <c r="F17" s="122"/>
    </row>
    <row r="18" spans="1:6">
      <c r="A18" s="17" t="s">
        <v>23</v>
      </c>
      <c r="B18" s="124">
        <v>-400000</v>
      </c>
      <c r="C18" s="124">
        <v>-440000</v>
      </c>
      <c r="D18" s="171">
        <v>-400000</v>
      </c>
      <c r="E18" s="171"/>
      <c r="F18" s="122"/>
    </row>
    <row r="19" spans="1:6">
      <c r="A19" s="17" t="s">
        <v>24</v>
      </c>
      <c r="B19" s="124">
        <f>-'Rekruttering 2025'!F118</f>
        <v>-24000</v>
      </c>
      <c r="C19" s="124">
        <v>-19600</v>
      </c>
      <c r="D19" s="171">
        <f>-'Rekruttering 2024'!F116</f>
        <v>-19600</v>
      </c>
      <c r="E19" s="171"/>
      <c r="F19" s="122"/>
    </row>
    <row r="20" spans="1:6" s="1" customFormat="1">
      <c r="A20" s="15" t="s">
        <v>25</v>
      </c>
      <c r="B20" s="170">
        <f t="shared" ref="B20:C20" si="1">SUM(B11:B19)</f>
        <v>-4435150</v>
      </c>
      <c r="C20" s="170">
        <f t="shared" si="1"/>
        <v>-4602700</v>
      </c>
      <c r="D20" s="170">
        <f>SUM(D11:D19)</f>
        <v>-4718700</v>
      </c>
      <c r="E20" s="170"/>
      <c r="F20" s="123"/>
    </row>
    <row r="21" spans="1:6" s="1" customFormat="1">
      <c r="A21" s="140"/>
      <c r="B21" s="141"/>
      <c r="C21" s="141"/>
      <c r="D21" s="172"/>
      <c r="E21" s="172"/>
      <c r="F21" s="141"/>
    </row>
    <row r="22" spans="1:6" s="1" customFormat="1">
      <c r="A22" s="17" t="s">
        <v>26</v>
      </c>
      <c r="B22" s="124">
        <f>-'Norsk Skolebridge 25'!B7</f>
        <v>-2524189</v>
      </c>
      <c r="C22" s="124">
        <v>-1645000</v>
      </c>
      <c r="D22" s="171">
        <f>-'Norsk Skolebridge 23-24'!D64</f>
        <v>-1999463</v>
      </c>
      <c r="E22" s="171"/>
      <c r="F22" s="139"/>
    </row>
    <row r="23" spans="1:6" s="1" customFormat="1">
      <c r="A23" s="17" t="s">
        <v>27</v>
      </c>
      <c r="B23" s="124">
        <v>-350000</v>
      </c>
      <c r="C23" s="124">
        <v>-350000</v>
      </c>
      <c r="D23" s="171">
        <v>0</v>
      </c>
      <c r="E23" s="171"/>
      <c r="F23" s="139"/>
    </row>
    <row r="24" spans="1:6" s="1" customFormat="1">
      <c r="A24" s="15" t="s">
        <v>28</v>
      </c>
      <c r="B24" s="170">
        <f t="shared" ref="B24:C24" si="2">SUM(B22:B23)</f>
        <v>-2874189</v>
      </c>
      <c r="C24" s="170">
        <f t="shared" si="2"/>
        <v>-1995000</v>
      </c>
      <c r="D24" s="170">
        <f>SUM(D22:D23)</f>
        <v>-1999463</v>
      </c>
      <c r="E24" s="170"/>
      <c r="F24" s="123"/>
    </row>
    <row r="25" spans="1:6" s="1" customFormat="1">
      <c r="B25" s="119"/>
      <c r="C25" s="119"/>
      <c r="D25" s="166"/>
      <c r="E25" s="166"/>
      <c r="F25" s="119"/>
    </row>
    <row r="26" spans="1:6" s="25" customFormat="1">
      <c r="A26" s="25" t="s">
        <v>29</v>
      </c>
      <c r="B26" s="173">
        <f>B9+B20+B24</f>
        <v>-14312633.705882352</v>
      </c>
      <c r="C26" s="173">
        <f>C9+C20+C24</f>
        <v>-13555935</v>
      </c>
      <c r="D26" s="173">
        <f>D9+D20+D24</f>
        <v>-12991663</v>
      </c>
      <c r="E26" s="173"/>
      <c r="F26" s="125"/>
    </row>
    <row r="28" spans="1:6">
      <c r="A28" s="16" t="s">
        <v>30</v>
      </c>
      <c r="B28" s="122">
        <v>-25000</v>
      </c>
      <c r="C28" s="122">
        <v>-25000</v>
      </c>
      <c r="D28" s="169">
        <v>-25000</v>
      </c>
      <c r="E28" s="169"/>
      <c r="F28" s="122"/>
    </row>
    <row r="29" spans="1:6">
      <c r="A29" s="131" t="s">
        <v>31</v>
      </c>
      <c r="B29" s="126">
        <v>-100000</v>
      </c>
      <c r="C29" s="126">
        <v>-100000</v>
      </c>
      <c r="D29" s="174">
        <v>-100000</v>
      </c>
      <c r="E29" s="211"/>
      <c r="F29" s="122"/>
    </row>
    <row r="30" spans="1:6" s="1" customFormat="1">
      <c r="A30" s="15" t="s">
        <v>32</v>
      </c>
      <c r="B30" s="170">
        <f>SUM(B28:B29)</f>
        <v>-125000</v>
      </c>
      <c r="C30" s="170">
        <f>SUM(C28:C29)</f>
        <v>-125000</v>
      </c>
      <c r="D30" s="170">
        <f>SUM(D28:D29)</f>
        <v>-125000</v>
      </c>
      <c r="E30" s="170"/>
      <c r="F30" s="123"/>
    </row>
    <row r="32" spans="1:6">
      <c r="A32" s="16" t="s">
        <v>33</v>
      </c>
      <c r="B32" s="122">
        <v>-900000</v>
      </c>
      <c r="C32" s="122">
        <v>-1000000</v>
      </c>
      <c r="D32" s="169">
        <v>-900000</v>
      </c>
      <c r="E32" s="169"/>
      <c r="F32" s="122"/>
    </row>
    <row r="33" spans="1:6">
      <c r="A33" s="131" t="s">
        <v>34</v>
      </c>
      <c r="B33" s="126">
        <v>600000</v>
      </c>
      <c r="C33" s="126">
        <v>650000</v>
      </c>
      <c r="D33" s="174">
        <v>700000</v>
      </c>
      <c r="E33" s="211"/>
      <c r="F33" s="122"/>
    </row>
    <row r="34" spans="1:6" s="1" customFormat="1">
      <c r="A34" s="274" t="s">
        <v>35</v>
      </c>
      <c r="B34" s="175">
        <f>SUM(B32:B33)</f>
        <v>-300000</v>
      </c>
      <c r="C34" s="175">
        <f>SUM(C32:C33)</f>
        <v>-350000</v>
      </c>
      <c r="D34" s="175">
        <f>SUM(D32:D33)</f>
        <v>-200000</v>
      </c>
      <c r="E34" s="175"/>
      <c r="F34" s="136"/>
    </row>
    <row r="35" spans="1:6" s="1" customFormat="1">
      <c r="B35" s="119"/>
      <c r="C35" s="119"/>
      <c r="D35" s="166"/>
      <c r="E35" s="166"/>
      <c r="F35" s="119"/>
    </row>
    <row r="36" spans="1:6" s="1" customFormat="1">
      <c r="A36" s="18" t="s">
        <v>36</v>
      </c>
      <c r="B36" s="176">
        <f t="shared" ref="B36:C36" si="3">B26+B30+B34</f>
        <v>-14737633.705882352</v>
      </c>
      <c r="C36" s="176">
        <f t="shared" si="3"/>
        <v>-14030935</v>
      </c>
      <c r="D36" s="176">
        <f>D26+D30+D34</f>
        <v>-13316663</v>
      </c>
      <c r="E36" s="176"/>
      <c r="F36" s="127"/>
    </row>
    <row r="38" spans="1:6">
      <c r="A38" s="16" t="s">
        <v>37</v>
      </c>
      <c r="B38" s="122">
        <v>3850000</v>
      </c>
      <c r="C38" s="122">
        <v>4528000</v>
      </c>
      <c r="D38" s="169">
        <f>Lønnsberegning!B14</f>
        <v>3786529.3832479659</v>
      </c>
      <c r="E38" s="171" t="s">
        <v>38</v>
      </c>
      <c r="F38" s="135" t="s">
        <v>39</v>
      </c>
    </row>
    <row r="39" spans="1:6">
      <c r="A39" s="131" t="s">
        <v>40</v>
      </c>
      <c r="B39" s="126">
        <v>150000</v>
      </c>
      <c r="C39" s="126">
        <v>100000</v>
      </c>
      <c r="D39" s="174">
        <v>100000</v>
      </c>
      <c r="E39" s="213" t="s">
        <v>41</v>
      </c>
      <c r="F39" s="122"/>
    </row>
    <row r="40" spans="1:6">
      <c r="A40" s="15" t="s">
        <v>42</v>
      </c>
      <c r="B40" s="170">
        <f t="shared" ref="B40:C40" si="4">SUM(B38:B39)</f>
        <v>4000000</v>
      </c>
      <c r="C40" s="170">
        <f t="shared" si="4"/>
        <v>4628000</v>
      </c>
      <c r="D40" s="170">
        <f>SUM(D38:D39)</f>
        <v>3886529.3832479659</v>
      </c>
      <c r="E40" s="170"/>
      <c r="F40" s="128"/>
    </row>
    <row r="42" spans="1:6">
      <c r="A42" s="16" t="s">
        <v>43</v>
      </c>
      <c r="B42" s="122">
        <v>650000</v>
      </c>
      <c r="C42" s="151">
        <v>650000</v>
      </c>
      <c r="D42" s="169">
        <v>700000</v>
      </c>
      <c r="E42" s="224" t="s">
        <v>44</v>
      </c>
      <c r="F42" s="122"/>
    </row>
    <row r="43" spans="1:6" s="1" customFormat="1">
      <c r="A43" s="17" t="s">
        <v>45</v>
      </c>
      <c r="B43" s="122">
        <v>600000</v>
      </c>
      <c r="C43" s="151">
        <v>530000</v>
      </c>
      <c r="D43" s="169">
        <v>600000</v>
      </c>
      <c r="E43" s="224" t="s">
        <v>46</v>
      </c>
      <c r="F43" s="124" t="s">
        <v>47</v>
      </c>
    </row>
    <row r="44" spans="1:6" s="1" customFormat="1">
      <c r="A44" s="17" t="s">
        <v>48</v>
      </c>
      <c r="B44" s="122">
        <v>350000</v>
      </c>
      <c r="C44" s="151"/>
      <c r="D44" s="169"/>
      <c r="E44" s="272" t="s">
        <v>49</v>
      </c>
      <c r="F44" s="124"/>
    </row>
    <row r="45" spans="1:6" s="1" customFormat="1">
      <c r="A45" s="17" t="s">
        <v>50</v>
      </c>
      <c r="B45" s="124">
        <v>100000</v>
      </c>
      <c r="C45" s="151">
        <v>100000</v>
      </c>
      <c r="D45" s="171">
        <v>50000</v>
      </c>
      <c r="E45" s="224" t="s">
        <v>51</v>
      </c>
      <c r="F45" s="122"/>
    </row>
    <row r="46" spans="1:6">
      <c r="A46" s="275" t="s">
        <v>52</v>
      </c>
      <c r="B46" s="276">
        <f>SUM(B42:B45)</f>
        <v>1700000</v>
      </c>
      <c r="C46" s="276">
        <f>SUM(C42:C45)</f>
        <v>1280000</v>
      </c>
      <c r="D46" s="276">
        <f>SUM(D42:D45)</f>
        <v>1350000</v>
      </c>
      <c r="E46" s="212"/>
      <c r="F46" s="123"/>
    </row>
    <row r="48" spans="1:6">
      <c r="A48" s="16" t="s">
        <v>53</v>
      </c>
      <c r="B48" s="122">
        <f>Turneringer!B29</f>
        <v>1066600</v>
      </c>
      <c r="C48" s="122">
        <v>808550</v>
      </c>
      <c r="D48" s="169">
        <f>Turneringer!G29</f>
        <v>785000</v>
      </c>
      <c r="E48" s="169"/>
      <c r="F48" s="122"/>
    </row>
    <row r="49" spans="1:6" s="1" customFormat="1">
      <c r="A49" s="16" t="s">
        <v>54</v>
      </c>
      <c r="B49" s="122">
        <f>Turneringer!B30</f>
        <v>80000</v>
      </c>
      <c r="C49" s="122">
        <v>82400</v>
      </c>
      <c r="D49" s="169">
        <f>Turneringer!G30</f>
        <v>80000</v>
      </c>
      <c r="E49" s="169"/>
      <c r="F49" s="138"/>
    </row>
    <row r="50" spans="1:6" s="1" customFormat="1">
      <c r="A50" s="16" t="s">
        <v>55</v>
      </c>
      <c r="B50" s="122">
        <f>Turneringer!B31</f>
        <v>150000</v>
      </c>
      <c r="C50" s="122">
        <v>154500</v>
      </c>
      <c r="D50" s="169">
        <f>Turneringer!G31</f>
        <v>150000</v>
      </c>
      <c r="E50" s="169"/>
      <c r="F50" s="138"/>
    </row>
    <row r="51" spans="1:6">
      <c r="A51" s="16" t="s">
        <v>56</v>
      </c>
      <c r="B51" s="122">
        <v>200000</v>
      </c>
      <c r="C51" s="122">
        <v>185400</v>
      </c>
      <c r="D51" s="169">
        <v>180000</v>
      </c>
      <c r="E51" s="169"/>
      <c r="F51" s="122"/>
    </row>
    <row r="52" spans="1:6">
      <c r="A52" s="16" t="s">
        <v>57</v>
      </c>
      <c r="B52" s="122">
        <f>BfA!B25</f>
        <v>348000</v>
      </c>
      <c r="C52" s="122">
        <v>267800</v>
      </c>
      <c r="D52" s="169">
        <v>260000</v>
      </c>
      <c r="E52" s="169"/>
      <c r="F52" s="122"/>
    </row>
    <row r="53" spans="1:6">
      <c r="A53" s="16" t="s">
        <v>58</v>
      </c>
      <c r="B53" s="122">
        <f>Festivalen!B39</f>
        <v>915000</v>
      </c>
      <c r="C53" s="122">
        <v>1009400</v>
      </c>
      <c r="D53" s="169">
        <f>Festivalen!E39</f>
        <v>980000</v>
      </c>
      <c r="E53" s="169"/>
      <c r="F53" s="122"/>
    </row>
    <row r="54" spans="1:6">
      <c r="A54" s="16" t="s">
        <v>22</v>
      </c>
      <c r="B54" s="122">
        <v>350000</v>
      </c>
      <c r="C54" s="122">
        <v>360500</v>
      </c>
      <c r="D54" s="169">
        <v>350000</v>
      </c>
      <c r="E54" s="169"/>
      <c r="F54" s="122"/>
    </row>
    <row r="55" spans="1:6">
      <c r="A55" s="17" t="s">
        <v>24</v>
      </c>
      <c r="B55" s="122">
        <f>'Rekruttering 2025'!E118</f>
        <v>86970</v>
      </c>
      <c r="C55" s="122">
        <v>60502</v>
      </c>
      <c r="D55" s="169">
        <f>'Rekruttering 2024'!E116</f>
        <v>58740</v>
      </c>
      <c r="E55" s="169"/>
      <c r="F55" s="122"/>
    </row>
    <row r="56" spans="1:6" s="132" customFormat="1">
      <c r="A56" s="131" t="s">
        <v>59</v>
      </c>
      <c r="B56" s="126">
        <v>150000</v>
      </c>
      <c r="C56" s="126">
        <v>103000</v>
      </c>
      <c r="D56" s="174">
        <v>100000</v>
      </c>
      <c r="E56" s="174"/>
      <c r="F56" s="131"/>
    </row>
    <row r="57" spans="1:6">
      <c r="A57" s="15" t="s">
        <v>60</v>
      </c>
      <c r="B57" s="170">
        <f t="shared" ref="B57:C57" si="5">SUM(B48:B56)</f>
        <v>3346570</v>
      </c>
      <c r="C57" s="170">
        <f t="shared" si="5"/>
        <v>3032052</v>
      </c>
      <c r="D57" s="170">
        <f>SUM(D48:D56)</f>
        <v>2943740</v>
      </c>
      <c r="E57" s="170"/>
      <c r="F57" s="123"/>
    </row>
    <row r="59" spans="1:6">
      <c r="A59" s="16" t="s">
        <v>61</v>
      </c>
      <c r="B59" s="124">
        <f>(7200*1.5*10)+(7200*1*12)</f>
        <v>194400</v>
      </c>
      <c r="C59" s="122">
        <v>180000</v>
      </c>
      <c r="D59" s="169">
        <v>180000</v>
      </c>
      <c r="E59" s="171" t="s">
        <v>62</v>
      </c>
      <c r="F59" s="122"/>
    </row>
    <row r="60" spans="1:6">
      <c r="A60" s="17" t="s">
        <v>63</v>
      </c>
      <c r="B60" s="124">
        <f>Internasjonalt2025!B38</f>
        <v>40000</v>
      </c>
      <c r="C60" s="124"/>
      <c r="D60" s="171">
        <f>Internasjonalt2025!F46</f>
        <v>75000</v>
      </c>
      <c r="E60" s="171"/>
      <c r="F60" s="124"/>
    </row>
    <row r="61" spans="1:6" s="1" customFormat="1">
      <c r="A61" s="17" t="s">
        <v>64</v>
      </c>
      <c r="B61" s="124">
        <f>Internasjonalt2025!B39</f>
        <v>40000</v>
      </c>
      <c r="C61" s="124"/>
      <c r="D61" s="171">
        <f>Internasjonalt2025!F47</f>
        <v>75000</v>
      </c>
      <c r="E61" s="171"/>
      <c r="F61" s="124"/>
    </row>
    <row r="62" spans="1:6" s="1" customFormat="1">
      <c r="A62" s="17" t="s">
        <v>65</v>
      </c>
      <c r="B62" s="124">
        <f>Internasjonalt2025!B40</f>
        <v>110000</v>
      </c>
      <c r="C62" s="124"/>
      <c r="D62" s="171">
        <f>Internasjonalt2025!F48</f>
        <v>57000</v>
      </c>
      <c r="E62" s="171"/>
      <c r="F62" s="124"/>
    </row>
    <row r="63" spans="1:6">
      <c r="A63" s="16" t="s">
        <v>66</v>
      </c>
      <c r="B63" s="122">
        <f>Internasjonalt2025!B35</f>
        <v>317000</v>
      </c>
      <c r="C63" s="122"/>
      <c r="D63" s="169">
        <f>Internasjonalt2025!F43</f>
        <v>225200</v>
      </c>
      <c r="E63" s="169"/>
      <c r="F63" s="122"/>
    </row>
    <row r="64" spans="1:6">
      <c r="A64" s="16" t="s">
        <v>67</v>
      </c>
      <c r="B64" s="122">
        <f>Internasjonalt2025!B34</f>
        <v>317000</v>
      </c>
      <c r="C64" s="122"/>
      <c r="D64" s="169">
        <f>Internasjonalt2025!F42</f>
        <v>284400</v>
      </c>
      <c r="E64" s="169"/>
      <c r="F64" s="122"/>
    </row>
    <row r="65" spans="1:6">
      <c r="A65" s="17" t="s">
        <v>68</v>
      </c>
      <c r="B65" s="124">
        <f>Internasjonalt2025!B36</f>
        <v>46000</v>
      </c>
      <c r="C65" s="124"/>
      <c r="D65" s="171">
        <f>Internasjonalt2025!F44</f>
        <v>78000</v>
      </c>
      <c r="E65" s="171"/>
      <c r="F65" s="124"/>
    </row>
    <row r="66" spans="1:6">
      <c r="A66" s="17" t="s">
        <v>69</v>
      </c>
      <c r="B66" s="124">
        <f>Internasjonalt2025!B41</f>
        <v>150000</v>
      </c>
      <c r="C66" s="124"/>
      <c r="D66" s="171">
        <f>Internasjonalt2025!F49</f>
        <v>57000</v>
      </c>
      <c r="E66" s="171"/>
      <c r="F66" s="124"/>
    </row>
    <row r="67" spans="1:6">
      <c r="A67" s="17" t="s">
        <v>70</v>
      </c>
      <c r="B67" s="124">
        <f>Internasjonalt2025!B37</f>
        <v>0</v>
      </c>
      <c r="C67" s="124"/>
      <c r="D67" s="171">
        <f>Internasjonalt2025!F45</f>
        <v>78000</v>
      </c>
      <c r="E67" s="171"/>
      <c r="F67" s="124"/>
    </row>
    <row r="68" spans="1:6">
      <c r="A68" s="17" t="s">
        <v>71</v>
      </c>
      <c r="B68" s="124">
        <f>Internasjonalt2025!B22</f>
        <v>140000</v>
      </c>
      <c r="C68" s="124"/>
      <c r="D68" s="171">
        <f>Internasjonalt2025!F29</f>
        <v>180000</v>
      </c>
      <c r="E68" s="171"/>
      <c r="F68" s="124"/>
    </row>
    <row r="69" spans="1:6">
      <c r="A69" s="19" t="s">
        <v>72</v>
      </c>
      <c r="B69" s="129">
        <v>0</v>
      </c>
      <c r="C69" s="129"/>
      <c r="D69" s="177"/>
      <c r="E69" s="177"/>
      <c r="F69" s="129"/>
    </row>
    <row r="70" spans="1:6">
      <c r="A70" s="16" t="s">
        <v>73</v>
      </c>
      <c r="B70" s="122">
        <v>-50000</v>
      </c>
      <c r="C70" s="122"/>
      <c r="D70" s="169">
        <v>-50000</v>
      </c>
      <c r="E70" s="169"/>
      <c r="F70" s="122"/>
    </row>
    <row r="71" spans="1:6">
      <c r="A71" s="17" t="s">
        <v>74</v>
      </c>
      <c r="B71" s="124"/>
      <c r="C71" s="124"/>
      <c r="D71" s="171"/>
      <c r="E71" s="171"/>
      <c r="F71" s="124"/>
    </row>
    <row r="72" spans="1:6">
      <c r="A72" s="275" t="s">
        <v>75</v>
      </c>
      <c r="B72" s="276">
        <f>SUM(B59:B71)</f>
        <v>1304400</v>
      </c>
      <c r="C72" s="276">
        <v>1280000</v>
      </c>
      <c r="D72" s="276">
        <f>SUM(D59:D71)</f>
        <v>1239600</v>
      </c>
      <c r="E72" s="212"/>
      <c r="F72" s="123"/>
    </row>
    <row r="73" spans="1:6">
      <c r="A73" s="1"/>
      <c r="B73" s="119"/>
      <c r="C73" s="119"/>
      <c r="D73" s="166"/>
      <c r="E73" s="166"/>
      <c r="F73" s="119"/>
    </row>
    <row r="74" spans="1:6" s="1" customFormat="1">
      <c r="A74" s="17" t="s">
        <v>76</v>
      </c>
      <c r="B74" s="124">
        <v>1190000</v>
      </c>
      <c r="C74" s="124"/>
      <c r="D74" s="171">
        <v>1000000</v>
      </c>
      <c r="E74" s="171" t="s">
        <v>77</v>
      </c>
      <c r="F74" s="124"/>
    </row>
    <row r="75" spans="1:6" s="1" customFormat="1">
      <c r="A75" s="17" t="s">
        <v>78</v>
      </c>
      <c r="B75" s="124">
        <v>50000</v>
      </c>
      <c r="C75" s="124"/>
      <c r="D75" s="171">
        <v>25000</v>
      </c>
      <c r="E75" s="171" t="s">
        <v>79</v>
      </c>
      <c r="F75" s="124"/>
    </row>
    <row r="76" spans="1:6" s="1" customFormat="1">
      <c r="A76" s="17" t="s">
        <v>80</v>
      </c>
      <c r="B76" s="124">
        <v>10000</v>
      </c>
      <c r="C76" s="124"/>
      <c r="D76" s="171">
        <v>5000</v>
      </c>
      <c r="E76" s="171" t="s">
        <v>81</v>
      </c>
      <c r="F76" s="124"/>
    </row>
    <row r="77" spans="1:6">
      <c r="A77" s="275" t="s">
        <v>82</v>
      </c>
      <c r="B77" s="277">
        <v>1250000</v>
      </c>
      <c r="C77" s="277">
        <v>1250000</v>
      </c>
      <c r="D77" s="276">
        <f>SUM(D74:D76)</f>
        <v>1030000</v>
      </c>
      <c r="E77" s="170"/>
      <c r="F77" s="128"/>
    </row>
    <row r="79" spans="1:6">
      <c r="A79" s="17" t="s">
        <v>83</v>
      </c>
      <c r="B79" s="124">
        <v>100000</v>
      </c>
      <c r="C79" s="124">
        <v>100000</v>
      </c>
      <c r="D79" s="171">
        <v>100000</v>
      </c>
      <c r="E79" s="171"/>
      <c r="F79" s="124"/>
    </row>
    <row r="80" spans="1:6">
      <c r="A80" s="17" t="s">
        <v>84</v>
      </c>
      <c r="B80" s="122">
        <v>200000</v>
      </c>
      <c r="C80" s="122">
        <v>200000</v>
      </c>
      <c r="D80" s="211">
        <v>350000</v>
      </c>
      <c r="E80" s="211"/>
      <c r="F80" s="122"/>
    </row>
    <row r="81" spans="1:6">
      <c r="A81" s="17" t="s">
        <v>85</v>
      </c>
      <c r="B81" s="122">
        <v>50000</v>
      </c>
      <c r="C81" s="122">
        <v>150000</v>
      </c>
      <c r="D81" s="211"/>
      <c r="E81" s="211"/>
      <c r="F81" s="122"/>
    </row>
    <row r="82" spans="1:6" s="1" customFormat="1">
      <c r="A82" s="275" t="s">
        <v>86</v>
      </c>
      <c r="B82" s="276">
        <f>SUM(B79:B81)</f>
        <v>350000</v>
      </c>
      <c r="C82" s="276">
        <f>SUM(C79:C81)</f>
        <v>450000</v>
      </c>
      <c r="D82" s="276">
        <f>SUM(D79:D80)</f>
        <v>450000</v>
      </c>
      <c r="E82" s="170"/>
      <c r="F82" s="128"/>
    </row>
    <row r="83" spans="1:6" s="1" customFormat="1">
      <c r="B83" s="119"/>
      <c r="C83" s="215"/>
      <c r="D83" s="215"/>
      <c r="E83" s="216"/>
      <c r="F83" s="217"/>
    </row>
    <row r="84" spans="1:6">
      <c r="A84" s="16" t="str">
        <f>'Rekruttering 2024'!A7</f>
        <v>Bridgens Dag</v>
      </c>
      <c r="B84" s="122">
        <f>'Rekruttering 2025'!G12</f>
        <v>135000</v>
      </c>
      <c r="C84" s="122"/>
      <c r="D84" s="169">
        <f>'Rekruttering 2024'!G12</f>
        <v>187500</v>
      </c>
      <c r="E84" s="169"/>
      <c r="F84" s="122"/>
    </row>
    <row r="85" spans="1:6">
      <c r="A85" s="17" t="str">
        <f>'Rekruttering 2024'!A13</f>
        <v>Spill Bridge 2</v>
      </c>
      <c r="B85" s="124">
        <f>'Rekruttering 2025'!G22</f>
        <v>-4530</v>
      </c>
      <c r="C85" s="124"/>
      <c r="D85" s="171">
        <f>'Rekruttering 2024'!G22</f>
        <v>-4530</v>
      </c>
      <c r="E85" s="171"/>
      <c r="F85" s="124"/>
    </row>
    <row r="86" spans="1:6">
      <c r="A86" s="17" t="str">
        <f>'Rekruttering 2024'!A23</f>
        <v>Spill Bridge 3</v>
      </c>
      <c r="B86" s="124">
        <f>'Rekruttering 2025'!G32</f>
        <v>-5280</v>
      </c>
      <c r="C86" s="124"/>
      <c r="D86" s="171">
        <f>'Rekruttering 2024'!G32</f>
        <v>-5280</v>
      </c>
      <c r="E86" s="171"/>
      <c r="F86" s="124"/>
    </row>
    <row r="87" spans="1:6">
      <c r="A87" s="17" t="str">
        <f>'Rekruttering 2024'!A33</f>
        <v>Spill Bridge 1</v>
      </c>
      <c r="B87" s="124">
        <f>'Rekruttering 2025'!G43</f>
        <v>-7850</v>
      </c>
      <c r="C87" s="124"/>
      <c r="D87" s="171">
        <f>'Rekruttering 2024'!G43</f>
        <v>-7850</v>
      </c>
      <c r="E87" s="171"/>
      <c r="F87" s="124"/>
    </row>
    <row r="88" spans="1:6">
      <c r="A88" s="17" t="s">
        <v>87</v>
      </c>
      <c r="B88" s="124">
        <f>'Rekruttering 2025'!G48</f>
        <v>-24750</v>
      </c>
      <c r="C88" s="124"/>
      <c r="D88" s="171">
        <f>'Rekruttering 2024'!G48</f>
        <v>-24750</v>
      </c>
      <c r="E88" s="171"/>
      <c r="F88" s="124"/>
    </row>
    <row r="89" spans="1:6">
      <c r="A89" s="17" t="s">
        <v>88</v>
      </c>
      <c r="B89" s="124">
        <v>0</v>
      </c>
      <c r="C89" s="124"/>
      <c r="D89" s="171">
        <v>0</v>
      </c>
      <c r="E89" s="171"/>
      <c r="F89" s="124"/>
    </row>
    <row r="90" spans="1:6">
      <c r="A90" s="17" t="s">
        <v>89</v>
      </c>
      <c r="B90" s="124">
        <f>'Rekruttering 2025'!G62</f>
        <v>31590</v>
      </c>
      <c r="C90" s="124"/>
      <c r="D90" s="171">
        <f>'Rekruttering 2024'!G63</f>
        <v>30000</v>
      </c>
      <c r="E90" s="171"/>
      <c r="F90" s="124"/>
    </row>
    <row r="91" spans="1:6">
      <c r="A91" s="17" t="s">
        <v>90</v>
      </c>
      <c r="B91" s="124">
        <f>'Rekruttering 2025'!G78</f>
        <v>69500</v>
      </c>
      <c r="C91" s="124"/>
      <c r="D91" s="171">
        <f>'Rekruttering 2024'!G74</f>
        <v>69500</v>
      </c>
      <c r="E91" s="171"/>
      <c r="F91" s="124"/>
    </row>
    <row r="92" spans="1:6">
      <c r="A92" s="17" t="s">
        <v>91</v>
      </c>
      <c r="B92" s="124">
        <v>0</v>
      </c>
      <c r="C92" s="124"/>
      <c r="D92" s="171">
        <v>0</v>
      </c>
      <c r="E92" s="171"/>
      <c r="F92" s="124"/>
    </row>
    <row r="93" spans="1:6">
      <c r="A93" s="17" t="s">
        <v>92</v>
      </c>
      <c r="B93" s="124">
        <f>'Rekruttering 2025'!G87</f>
        <v>166000</v>
      </c>
      <c r="C93" s="124"/>
      <c r="D93" s="171">
        <f>'Rekruttering 2024'!G82</f>
        <v>216375</v>
      </c>
      <c r="E93" s="171"/>
      <c r="F93" s="124"/>
    </row>
    <row r="94" spans="1:6">
      <c r="A94" s="17" t="s">
        <v>93</v>
      </c>
      <c r="B94" s="124">
        <f>'Rekruttering 2025'!G54</f>
        <v>69000</v>
      </c>
      <c r="C94" s="124"/>
      <c r="D94" s="171">
        <f>'Rekruttering 2024'!G54</f>
        <v>46500</v>
      </c>
      <c r="E94" s="171"/>
      <c r="F94" s="124"/>
    </row>
    <row r="95" spans="1:6">
      <c r="A95" s="17" t="s">
        <v>94</v>
      </c>
      <c r="B95" s="124">
        <v>0</v>
      </c>
      <c r="C95" s="124"/>
      <c r="D95" s="171">
        <v>0</v>
      </c>
      <c r="E95" s="171"/>
      <c r="F95" s="124"/>
    </row>
    <row r="96" spans="1:6">
      <c r="A96" s="17" t="s">
        <v>95</v>
      </c>
      <c r="B96" s="124">
        <v>0</v>
      </c>
      <c r="C96" s="124"/>
      <c r="D96" s="171">
        <f>'Rekruttering 2024'!G59</f>
        <v>50000</v>
      </c>
      <c r="E96" s="171"/>
      <c r="F96" s="124"/>
    </row>
    <row r="97" spans="1:6">
      <c r="A97" s="17" t="s">
        <v>96</v>
      </c>
      <c r="B97" s="124">
        <f>'Rekruttering 2025'!G68</f>
        <v>140000</v>
      </c>
      <c r="C97" s="124"/>
      <c r="D97" s="171">
        <f>'Rekruttering 2024'!G68</f>
        <v>120000</v>
      </c>
      <c r="E97" s="171"/>
      <c r="F97" s="124"/>
    </row>
    <row r="98" spans="1:6">
      <c r="A98" s="17" t="s">
        <v>97</v>
      </c>
      <c r="B98" s="124">
        <f>'Rekruttering 2025'!G72</f>
        <v>62000</v>
      </c>
      <c r="C98" s="124"/>
      <c r="D98" s="171"/>
      <c r="E98" s="171"/>
      <c r="F98" s="124"/>
    </row>
    <row r="99" spans="1:6">
      <c r="A99" s="17" t="s">
        <v>98</v>
      </c>
      <c r="B99" s="124">
        <v>0</v>
      </c>
      <c r="C99" s="124"/>
      <c r="D99" s="171">
        <f>'Rekruttering 2024'!G91</f>
        <v>21000</v>
      </c>
      <c r="E99" s="171"/>
      <c r="F99" s="124"/>
    </row>
    <row r="100" spans="1:6">
      <c r="A100" s="17" t="str">
        <f>'Rekruttering 2025'!A55</f>
        <v xml:space="preserve">Juleserie </v>
      </c>
      <c r="B100" s="124">
        <f>'Rekruttering 2025'!G57</f>
        <v>3000</v>
      </c>
      <c r="C100" s="124"/>
      <c r="D100" s="171"/>
      <c r="E100" s="171"/>
      <c r="F100" s="124"/>
    </row>
    <row r="101" spans="1:6">
      <c r="A101" s="17" t="str">
        <f>'Rekruttering 2025'!A88</f>
        <v>Støtteordninger juniorbridgeklubber</v>
      </c>
      <c r="B101" s="124">
        <f>'Rekruttering 2025'!G93</f>
        <v>-12500</v>
      </c>
      <c r="C101" s="124"/>
      <c r="D101" s="171"/>
      <c r="E101" s="171"/>
      <c r="F101" s="124"/>
    </row>
    <row r="102" spans="1:6">
      <c r="A102" s="17" t="str">
        <f>'Rekruttering 2025'!A94</f>
        <v xml:space="preserve">Kursstøtte </v>
      </c>
      <c r="B102" s="124">
        <f>'Rekruttering 2025'!G96</f>
        <v>80000</v>
      </c>
      <c r="C102" s="124"/>
      <c r="D102" s="171"/>
      <c r="E102" s="171"/>
      <c r="F102" s="124"/>
    </row>
    <row r="103" spans="1:6">
      <c r="A103" s="17" t="str">
        <f>'Rekruttering 2025'!A69</f>
        <v>Fra kurs til klubb</v>
      </c>
      <c r="B103" s="124">
        <f>'Rekruttering 2025'!G78</f>
        <v>69500</v>
      </c>
      <c r="C103" s="124"/>
      <c r="D103" s="171"/>
      <c r="E103" s="171"/>
      <c r="F103" s="124"/>
    </row>
    <row r="104" spans="1:6">
      <c r="A104" s="275" t="s">
        <v>99</v>
      </c>
      <c r="B104" s="277">
        <f>SUM(B84:B102)</f>
        <v>701180</v>
      </c>
      <c r="C104" s="277">
        <v>900000</v>
      </c>
      <c r="D104" s="276">
        <f>SUM(D84:D99)</f>
        <v>698465</v>
      </c>
      <c r="E104" s="212"/>
      <c r="F104" s="123"/>
    </row>
    <row r="105" spans="1:6">
      <c r="A105" s="140"/>
      <c r="B105" s="141"/>
      <c r="C105" s="141"/>
      <c r="D105" s="172"/>
      <c r="E105" s="172"/>
      <c r="F105" s="141"/>
    </row>
    <row r="106" spans="1:6">
      <c r="A106" s="275" t="s">
        <v>100</v>
      </c>
      <c r="B106" s="277">
        <f>'Rekruttering 2025'!G106</f>
        <v>85800</v>
      </c>
      <c r="C106" s="277">
        <v>60000</v>
      </c>
      <c r="D106" s="276">
        <f>'Rekruttering 2024'!G105</f>
        <v>78100</v>
      </c>
      <c r="E106" s="170" t="s">
        <v>101</v>
      </c>
      <c r="F106" s="123" t="s">
        <v>102</v>
      </c>
    </row>
    <row r="107" spans="1:6">
      <c r="A107" s="140"/>
      <c r="B107" s="141"/>
      <c r="C107" s="141"/>
      <c r="D107" s="172"/>
      <c r="E107" s="172"/>
      <c r="F107" s="141"/>
    </row>
    <row r="108" spans="1:6">
      <c r="A108" s="275" t="s">
        <v>103</v>
      </c>
      <c r="B108" s="277">
        <f>'Norsk Skolebridge 25'!B21</f>
        <v>2524189</v>
      </c>
      <c r="C108" s="277">
        <v>1645000</v>
      </c>
      <c r="D108" s="276">
        <f>'Norsk Skolebridge 23-24'!D64</f>
        <v>1999463</v>
      </c>
      <c r="E108" s="170"/>
      <c r="F108" s="123"/>
    </row>
    <row r="109" spans="1:6">
      <c r="A109" s="1"/>
      <c r="B109" s="119"/>
      <c r="C109" s="119"/>
      <c r="D109" s="166"/>
      <c r="E109" s="166"/>
      <c r="F109" s="119"/>
    </row>
    <row r="110" spans="1:6">
      <c r="A110" s="278" t="s">
        <v>104</v>
      </c>
      <c r="B110" s="279">
        <f>B40+B46+B57+B72+B77+B82+B104+B106+B108</f>
        <v>15262139</v>
      </c>
      <c r="C110" s="279">
        <f>C108+C104+C82+C77+C72+C57+C46+C40+C106</f>
        <v>14525052</v>
      </c>
      <c r="D110" s="279">
        <f>D108+D104+D82+D77+D72+D57+D46+D40+D106</f>
        <v>13675897.383247966</v>
      </c>
      <c r="E110" s="176"/>
      <c r="F110" s="127"/>
    </row>
    <row r="111" spans="1:6">
      <c r="A111" s="1"/>
      <c r="B111" s="119"/>
      <c r="C111" s="119"/>
      <c r="D111" s="166"/>
      <c r="E111" s="166"/>
      <c r="F111" s="119"/>
    </row>
    <row r="112" spans="1:6">
      <c r="A112" s="278" t="s">
        <v>105</v>
      </c>
      <c r="B112" s="279">
        <f>B36+B110</f>
        <v>524505.29411764815</v>
      </c>
      <c r="C112" s="279">
        <f>C36+C110</f>
        <v>494117</v>
      </c>
      <c r="D112" s="279">
        <f>D36+D110</f>
        <v>359234.38324796595</v>
      </c>
      <c r="E112" s="176"/>
      <c r="F112" s="127"/>
    </row>
    <row r="114" spans="1:6" s="1" customFormat="1">
      <c r="A114" s="16" t="s">
        <v>106</v>
      </c>
      <c r="B114" s="122">
        <v>30000</v>
      </c>
      <c r="C114" s="122">
        <v>30000</v>
      </c>
      <c r="D114" s="169">
        <v>40000</v>
      </c>
      <c r="E114" s="169"/>
      <c r="F114" s="122"/>
    </row>
    <row r="115" spans="1:6" s="1" customFormat="1">
      <c r="A115" s="16" t="s">
        <v>107</v>
      </c>
      <c r="B115" s="122">
        <v>-750000</v>
      </c>
      <c r="C115" s="122">
        <v>-600000</v>
      </c>
      <c r="D115" s="169">
        <v>-600000</v>
      </c>
      <c r="E115" s="169"/>
      <c r="F115" s="122"/>
    </row>
    <row r="116" spans="1:6" s="1" customFormat="1">
      <c r="A116" s="280" t="s">
        <v>108</v>
      </c>
      <c r="B116" s="137">
        <v>0</v>
      </c>
      <c r="C116" s="137">
        <v>0</v>
      </c>
      <c r="D116" s="178">
        <v>0</v>
      </c>
      <c r="E116" s="213"/>
      <c r="F116" s="122"/>
    </row>
    <row r="117" spans="1:6">
      <c r="A117" s="15" t="s">
        <v>109</v>
      </c>
      <c r="B117" s="170">
        <f t="shared" ref="B117:C117" si="6">SUM(B114:B116)</f>
        <v>-720000</v>
      </c>
      <c r="C117" s="170">
        <f t="shared" si="6"/>
        <v>-570000</v>
      </c>
      <c r="D117" s="170">
        <f>SUM(D114:D116)</f>
        <v>-560000</v>
      </c>
      <c r="E117" s="170"/>
      <c r="F117" s="128"/>
    </row>
    <row r="118" spans="1:6">
      <c r="A118" s="1"/>
      <c r="B118" s="119"/>
      <c r="C118" s="119"/>
      <c r="D118" s="166"/>
      <c r="E118" s="166"/>
      <c r="F118" s="119"/>
    </row>
    <row r="119" spans="1:6" ht="15.6">
      <c r="A119" s="20" t="s">
        <v>110</v>
      </c>
      <c r="B119" s="179">
        <f t="shared" ref="B119:C119" si="7">B112+B117</f>
        <v>-195494.70588235185</v>
      </c>
      <c r="C119" s="179">
        <f t="shared" si="7"/>
        <v>-75883</v>
      </c>
      <c r="D119" s="179">
        <f>D112+D117</f>
        <v>-200765.61675203405</v>
      </c>
      <c r="E119" s="179"/>
      <c r="F119" s="130"/>
    </row>
    <row r="121" spans="1:6">
      <c r="A121" s="2"/>
      <c r="B121" s="40"/>
      <c r="C121" s="40"/>
      <c r="D121" s="118"/>
      <c r="E121" s="118"/>
      <c r="F121" s="40"/>
    </row>
    <row r="123" spans="1:6">
      <c r="A123" s="1"/>
      <c r="B123" s="119"/>
      <c r="C123" s="119"/>
      <c r="D123" s="166"/>
      <c r="E123" s="166"/>
      <c r="F123" s="119"/>
    </row>
  </sheetData>
  <mergeCells count="1">
    <mergeCell ref="A1:F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E11CB-BE5D-4188-A9E6-FCD4D537B3C4}">
  <sheetPr>
    <tabColor rgb="FF00B050"/>
  </sheetPr>
  <dimension ref="A1:F29"/>
  <sheetViews>
    <sheetView workbookViewId="0">
      <selection activeCell="E10" sqref="E10"/>
    </sheetView>
  </sheetViews>
  <sheetFormatPr baseColWidth="10" defaultColWidth="11.44140625" defaultRowHeight="13.2"/>
  <cols>
    <col min="2" max="2" width="16.5546875" bestFit="1" customWidth="1"/>
    <col min="3" max="3" width="12.33203125" bestFit="1" customWidth="1"/>
    <col min="4" max="4" width="15.44140625" bestFit="1" customWidth="1"/>
    <col min="5" max="5" width="14.6640625" bestFit="1" customWidth="1"/>
  </cols>
  <sheetData>
    <row r="1" spans="1:6">
      <c r="A1" s="1" t="s">
        <v>534</v>
      </c>
      <c r="B1" s="2"/>
      <c r="C1" s="133">
        <v>7.0000000000000007E-2</v>
      </c>
      <c r="D1" s="133">
        <v>0.14099999999999999</v>
      </c>
      <c r="E1" s="2"/>
    </row>
    <row r="2" spans="1:6">
      <c r="A2" s="2"/>
      <c r="B2" s="2" t="s">
        <v>535</v>
      </c>
      <c r="C2" s="2" t="s">
        <v>536</v>
      </c>
      <c r="D2" s="2" t="s">
        <v>537</v>
      </c>
      <c r="E2" s="2" t="s">
        <v>538</v>
      </c>
    </row>
    <row r="3" spans="1:6" ht="15.6">
      <c r="A3" s="2" t="s">
        <v>539</v>
      </c>
      <c r="B3" s="268">
        <v>1044949.496</v>
      </c>
      <c r="C3" s="118">
        <f t="shared" ref="C3:C9" si="0">B3*$C$1</f>
        <v>73146.464720000004</v>
      </c>
      <c r="D3" s="118">
        <f t="shared" ref="D3:D9" si="1">(B3+C3)*$D$1</f>
        <v>157651.53046151999</v>
      </c>
      <c r="E3" s="118">
        <f t="shared" ref="E3:E9" si="2">B3+C3+D3</f>
        <v>1275747.49118152</v>
      </c>
      <c r="F3" s="159" t="s">
        <v>540</v>
      </c>
    </row>
    <row r="4" spans="1:6" ht="15.6">
      <c r="A4" s="2" t="s">
        <v>541</v>
      </c>
      <c r="B4" s="268">
        <v>741533.76</v>
      </c>
      <c r="C4" s="118">
        <f t="shared" si="0"/>
        <v>51907.363200000007</v>
      </c>
      <c r="D4" s="118">
        <f t="shared" si="1"/>
        <v>111875.19837119999</v>
      </c>
      <c r="E4" s="118">
        <f t="shared" si="2"/>
        <v>905316.32157120004</v>
      </c>
    </row>
    <row r="5" spans="1:6">
      <c r="A5" s="2" t="s">
        <v>542</v>
      </c>
      <c r="B5" s="267">
        <v>0</v>
      </c>
      <c r="C5" s="118">
        <f t="shared" si="0"/>
        <v>0</v>
      </c>
      <c r="D5" s="118">
        <f t="shared" si="1"/>
        <v>0</v>
      </c>
      <c r="E5" s="118">
        <f t="shared" si="2"/>
        <v>0</v>
      </c>
      <c r="F5" s="2" t="s">
        <v>543</v>
      </c>
    </row>
    <row r="6" spans="1:6">
      <c r="A6" s="2" t="s">
        <v>544</v>
      </c>
      <c r="B6" s="267">
        <v>702736</v>
      </c>
      <c r="C6" s="118">
        <f t="shared" si="0"/>
        <v>49191.520000000004</v>
      </c>
      <c r="D6" s="118">
        <f t="shared" si="1"/>
        <v>106021.78031999999</v>
      </c>
      <c r="E6" s="118">
        <f t="shared" si="2"/>
        <v>857949.30032000004</v>
      </c>
    </row>
    <row r="7" spans="1:6">
      <c r="A7" s="2" t="s">
        <v>545</v>
      </c>
      <c r="B7" s="267">
        <f>664238*0.25</f>
        <v>166059.5</v>
      </c>
      <c r="C7" s="118">
        <f t="shared" si="0"/>
        <v>11624.165000000001</v>
      </c>
      <c r="D7" s="118">
        <f t="shared" si="1"/>
        <v>25053.396764999998</v>
      </c>
      <c r="E7" s="118">
        <f t="shared" si="2"/>
        <v>202737.06176499999</v>
      </c>
    </row>
    <row r="8" spans="1:6">
      <c r="A8" s="2" t="s">
        <v>546</v>
      </c>
      <c r="B8" s="267">
        <f>417681*0.4</f>
        <v>167072.40000000002</v>
      </c>
      <c r="C8" s="118">
        <f t="shared" si="0"/>
        <v>11695.068000000003</v>
      </c>
      <c r="D8" s="118">
        <f t="shared" si="1"/>
        <v>25206.212987999999</v>
      </c>
      <c r="E8" s="118">
        <f t="shared" si="2"/>
        <v>203973.68098800001</v>
      </c>
    </row>
    <row r="9" spans="1:6">
      <c r="A9" s="2" t="s">
        <v>547</v>
      </c>
      <c r="B9" s="267">
        <f>755259*0.25</f>
        <v>188814.75</v>
      </c>
      <c r="C9" s="118">
        <f t="shared" si="0"/>
        <v>13217.032500000001</v>
      </c>
      <c r="D9" s="118">
        <f t="shared" si="1"/>
        <v>28486.481332499996</v>
      </c>
      <c r="E9" s="118">
        <f t="shared" si="2"/>
        <v>230518.2638325</v>
      </c>
    </row>
    <row r="10" spans="1:6">
      <c r="A10" s="2"/>
      <c r="B10" s="267">
        <f>SUM(B3:B9)</f>
        <v>3011165.906</v>
      </c>
      <c r="C10" s="118">
        <f>SUM(C3:C9)</f>
        <v>210781.61342000004</v>
      </c>
      <c r="D10" s="118">
        <f>SUM(D3:D9)</f>
        <v>454294.60023822001</v>
      </c>
      <c r="E10" s="118">
        <f>SUM(E3:E9)</f>
        <v>3676242.1196582196</v>
      </c>
    </row>
    <row r="11" spans="1:6">
      <c r="A11" s="2"/>
      <c r="B11" s="118"/>
      <c r="C11" s="118"/>
      <c r="D11" s="118"/>
      <c r="E11" s="118"/>
    </row>
    <row r="12" spans="1:6">
      <c r="A12" s="2" t="s">
        <v>548</v>
      </c>
      <c r="B12" s="118"/>
      <c r="C12" s="118"/>
      <c r="D12" s="118"/>
      <c r="E12" s="118"/>
    </row>
    <row r="13" spans="1:6">
      <c r="A13" s="2"/>
      <c r="B13" s="118"/>
      <c r="C13" s="118"/>
      <c r="D13" s="118"/>
      <c r="E13" s="118"/>
    </row>
    <row r="14" spans="1:6">
      <c r="A14" s="2" t="s">
        <v>549</v>
      </c>
      <c r="B14" s="118">
        <f>(E10*1.045*8/12)+(E10*4/12)</f>
        <v>3786529.3832479659</v>
      </c>
      <c r="C14" s="118"/>
      <c r="D14" s="118"/>
      <c r="E14" s="118"/>
    </row>
    <row r="15" spans="1:6">
      <c r="A15" s="2"/>
      <c r="B15" s="266"/>
      <c r="C15" s="266"/>
      <c r="D15" s="266"/>
      <c r="E15" s="266"/>
    </row>
    <row r="16" spans="1:6">
      <c r="A16" s="1"/>
      <c r="B16" s="2" t="s">
        <v>550</v>
      </c>
      <c r="C16" s="133"/>
      <c r="D16" s="133"/>
      <c r="E16" s="2"/>
    </row>
    <row r="17" spans="1:5">
      <c r="B17" s="2" t="s">
        <v>551</v>
      </c>
    </row>
    <row r="18" spans="1:5">
      <c r="B18" s="183"/>
      <c r="C18" s="117"/>
      <c r="D18" s="117"/>
      <c r="E18" s="117"/>
    </row>
    <row r="19" spans="1:5">
      <c r="A19" s="2"/>
      <c r="B19" s="183"/>
      <c r="C19" s="117"/>
      <c r="D19" s="117"/>
      <c r="E19" s="117"/>
    </row>
    <row r="20" spans="1:5">
      <c r="A20" s="2"/>
      <c r="B20" s="183"/>
      <c r="C20" s="117"/>
      <c r="D20" s="117"/>
      <c r="E20" s="117"/>
    </row>
    <row r="21" spans="1:5">
      <c r="A21" s="2"/>
      <c r="B21" s="183"/>
      <c r="C21" s="117"/>
      <c r="D21" s="117"/>
      <c r="E21" s="117"/>
    </row>
    <row r="22" spans="1:5">
      <c r="A22" s="2"/>
      <c r="B22" s="183"/>
      <c r="C22" s="117"/>
      <c r="D22" s="117"/>
      <c r="E22" s="117"/>
    </row>
    <row r="23" spans="1:5">
      <c r="A23" s="2"/>
      <c r="B23" s="183"/>
      <c r="C23" s="117"/>
      <c r="D23" s="117"/>
      <c r="E23" s="117"/>
    </row>
    <row r="24" spans="1:5">
      <c r="A24" s="2"/>
      <c r="B24" s="183"/>
      <c r="C24" s="117"/>
      <c r="D24" s="117"/>
      <c r="E24" s="117"/>
    </row>
    <row r="25" spans="1:5">
      <c r="B25" s="117"/>
      <c r="C25" s="117"/>
      <c r="D25" s="117"/>
      <c r="E25" s="117"/>
    </row>
    <row r="26" spans="1:5">
      <c r="B26" s="117"/>
      <c r="C26" s="117"/>
      <c r="D26" s="117"/>
      <c r="E26" s="117"/>
    </row>
    <row r="27" spans="1:5">
      <c r="A27" s="2"/>
      <c r="B27" s="117"/>
      <c r="C27" s="117"/>
      <c r="D27" s="117"/>
      <c r="E27" s="117"/>
    </row>
    <row r="28" spans="1:5">
      <c r="B28" s="117"/>
      <c r="C28" s="117"/>
      <c r="D28" s="117"/>
      <c r="E28" s="117"/>
    </row>
    <row r="29" spans="1:5">
      <c r="A29" s="2"/>
      <c r="B29" s="117"/>
      <c r="C29" s="117"/>
      <c r="D29" s="117"/>
      <c r="E29" s="1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518F-F952-4B91-A4DD-34AB81F7B630}">
  <sheetPr>
    <tabColor rgb="FFFFC000"/>
  </sheetPr>
  <dimension ref="A1:H17"/>
  <sheetViews>
    <sheetView workbookViewId="0">
      <selection activeCell="E9" sqref="E9"/>
    </sheetView>
  </sheetViews>
  <sheetFormatPr baseColWidth="10" defaultColWidth="11.44140625" defaultRowHeight="13.2"/>
  <cols>
    <col min="1" max="1" width="36.33203125" customWidth="1"/>
    <col min="2" max="2" width="17.33203125" style="38" customWidth="1"/>
  </cols>
  <sheetData>
    <row r="1" spans="1:8">
      <c r="A1" s="370" t="s">
        <v>552</v>
      </c>
      <c r="B1" s="370"/>
      <c r="C1" s="370"/>
      <c r="D1" s="370"/>
      <c r="E1" s="370"/>
      <c r="F1" s="370"/>
      <c r="G1" s="370"/>
      <c r="H1" s="370"/>
    </row>
    <row r="2" spans="1:8">
      <c r="A2" s="370" t="s">
        <v>553</v>
      </c>
      <c r="B2" s="370"/>
      <c r="C2" s="370"/>
      <c r="D2" s="370"/>
      <c r="E2" s="370"/>
      <c r="F2" s="370"/>
      <c r="G2" s="370"/>
      <c r="H2" s="370"/>
    </row>
    <row r="3" spans="1:8">
      <c r="A3" s="210"/>
      <c r="B3" s="51">
        <v>2024</v>
      </c>
      <c r="C3" s="51">
        <v>2025</v>
      </c>
      <c r="D3" s="210"/>
      <c r="E3" s="210"/>
      <c r="F3" s="210"/>
      <c r="G3" s="210"/>
      <c r="H3" s="210"/>
    </row>
    <row r="4" spans="1:8">
      <c r="A4" t="s">
        <v>554</v>
      </c>
      <c r="B4" s="38">
        <f>'Norsk Skolebridge 23-24'!D64</f>
        <v>1999463</v>
      </c>
    </row>
    <row r="5" spans="1:8">
      <c r="A5" s="2" t="s">
        <v>555</v>
      </c>
      <c r="B5" s="38">
        <f>Internasjonalt2025!F46</f>
        <v>75000</v>
      </c>
    </row>
    <row r="6" spans="1:8">
      <c r="A6" s="2" t="s">
        <v>556</v>
      </c>
      <c r="B6" s="38">
        <f>Internasjonalt2025!F47</f>
        <v>75000</v>
      </c>
    </row>
    <row r="7" spans="1:8">
      <c r="A7" s="2" t="s">
        <v>557</v>
      </c>
      <c r="B7" s="38">
        <f>Internasjonalt2025!F48</f>
        <v>57000</v>
      </c>
    </row>
    <row r="8" spans="1:8">
      <c r="A8" s="2" t="s">
        <v>558</v>
      </c>
      <c r="B8" s="38">
        <f>Internasjonalt2025!F49</f>
        <v>57000</v>
      </c>
    </row>
    <row r="9" spans="1:8">
      <c r="A9" s="2" t="s">
        <v>559</v>
      </c>
      <c r="B9" s="38">
        <f>Internasjonalt2025!F20</f>
        <v>90000</v>
      </c>
    </row>
    <row r="10" spans="1:8">
      <c r="A10" s="2" t="s">
        <v>560</v>
      </c>
      <c r="B10" s="38">
        <f>Internasjonalt2025!F21</f>
        <v>30000</v>
      </c>
    </row>
    <row r="11" spans="1:8">
      <c r="A11" s="2" t="s">
        <v>561</v>
      </c>
      <c r="B11" s="38">
        <f>'Rekruttering 2024'!G59</f>
        <v>50000</v>
      </c>
    </row>
    <row r="12" spans="1:8">
      <c r="A12" s="2" t="s">
        <v>562</v>
      </c>
      <c r="B12" s="38">
        <f>'Rekruttering 2024'!G82</f>
        <v>216375</v>
      </c>
    </row>
    <row r="13" spans="1:8">
      <c r="A13" s="2" t="s">
        <v>563</v>
      </c>
      <c r="B13" s="38">
        <f>'Rekruttering 2024'!G105</f>
        <v>78100</v>
      </c>
    </row>
    <row r="14" spans="1:8">
      <c r="A14" s="2" t="s">
        <v>564</v>
      </c>
      <c r="B14" s="38">
        <f>Lønnsberegning!E9</f>
        <v>230518.2638325</v>
      </c>
    </row>
    <row r="15" spans="1:8">
      <c r="A15" s="2" t="s">
        <v>24</v>
      </c>
      <c r="B15" s="38">
        <f>'Rekruttering 2024'!G116</f>
        <v>39140</v>
      </c>
    </row>
    <row r="16" spans="1:8">
      <c r="A16" s="2" t="s">
        <v>80</v>
      </c>
      <c r="B16" s="38">
        <f>'Budsjett 2025'!D76</f>
        <v>5000</v>
      </c>
    </row>
    <row r="17" spans="2:2">
      <c r="B17" s="119">
        <f>SUM(B4:B16)</f>
        <v>3002596.2638325002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385C-932E-4595-9865-47D90389A86B}">
  <sheetPr>
    <tabColor rgb="FFFF0000"/>
  </sheetPr>
  <dimension ref="A1:I116"/>
  <sheetViews>
    <sheetView workbookViewId="0">
      <selection activeCell="H82" sqref="H82"/>
    </sheetView>
  </sheetViews>
  <sheetFormatPr baseColWidth="10" defaultColWidth="11.44140625" defaultRowHeight="13.2"/>
  <cols>
    <col min="1" max="1" width="43" bestFit="1" customWidth="1"/>
    <col min="2" max="2" width="61.6640625" bestFit="1" customWidth="1"/>
    <col min="3" max="3" width="16.6640625" customWidth="1"/>
    <col min="4" max="4" width="16.109375" customWidth="1"/>
    <col min="5" max="5" width="17.88671875" customWidth="1"/>
    <col min="6" max="6" width="16.44140625" customWidth="1"/>
    <col min="7" max="7" width="16.6640625" customWidth="1"/>
    <col min="8" max="8" width="15.109375" customWidth="1"/>
    <col min="9" max="9" width="91.33203125" bestFit="1" customWidth="1"/>
  </cols>
  <sheetData>
    <row r="1" spans="1:9" ht="33.6" thickBot="1">
      <c r="A1" s="45"/>
      <c r="B1" s="46" t="s">
        <v>565</v>
      </c>
      <c r="C1" s="46"/>
      <c r="D1" s="47"/>
      <c r="E1" s="47"/>
      <c r="F1" s="47"/>
      <c r="G1" s="47"/>
      <c r="H1" s="50"/>
    </row>
    <row r="2" spans="1:9" ht="33.6" thickTop="1">
      <c r="A2" s="48"/>
      <c r="B2" s="49"/>
      <c r="C2" s="48"/>
      <c r="D2" s="50"/>
      <c r="E2" s="50"/>
      <c r="F2" s="51"/>
      <c r="G2" s="52"/>
      <c r="H2" s="52"/>
    </row>
    <row r="3" spans="1:9" ht="13.8" thickBot="1">
      <c r="A3" s="53" t="s">
        <v>208</v>
      </c>
      <c r="B3" s="53" t="s">
        <v>209</v>
      </c>
      <c r="C3" s="53" t="s">
        <v>210</v>
      </c>
      <c r="D3" s="54"/>
      <c r="E3" s="54" t="s">
        <v>211</v>
      </c>
      <c r="F3" s="95">
        <v>45266</v>
      </c>
    </row>
    <row r="4" spans="1:9" ht="16.2" thickBot="1">
      <c r="A4" s="55">
        <v>700000</v>
      </c>
      <c r="B4" s="56">
        <f>SUM(G8:G91)</f>
        <v>698465</v>
      </c>
      <c r="C4" s="57">
        <f>A4-B4</f>
        <v>1535</v>
      </c>
      <c r="D4" s="58"/>
      <c r="E4" s="54" t="s">
        <v>212</v>
      </c>
      <c r="F4" s="95" t="s">
        <v>213</v>
      </c>
      <c r="G4" s="59"/>
      <c r="H4" s="59"/>
    </row>
    <row r="5" spans="1:9" ht="13.8" thickBot="1">
      <c r="A5" s="54"/>
      <c r="B5" s="54"/>
      <c r="C5" s="54"/>
      <c r="D5" s="54"/>
      <c r="E5" s="54"/>
      <c r="F5" s="1"/>
    </row>
    <row r="6" spans="1:9" ht="13.8" thickBot="1">
      <c r="A6" s="60" t="s">
        <v>214</v>
      </c>
      <c r="B6" s="61" t="s">
        <v>215</v>
      </c>
      <c r="C6" s="61" t="s">
        <v>216</v>
      </c>
      <c r="D6" s="61" t="s">
        <v>217</v>
      </c>
      <c r="E6" s="60" t="s">
        <v>144</v>
      </c>
      <c r="F6" s="60" t="s">
        <v>218</v>
      </c>
      <c r="G6" s="60" t="s">
        <v>219</v>
      </c>
      <c r="H6" s="53"/>
      <c r="I6" s="207" t="s">
        <v>220</v>
      </c>
    </row>
    <row r="7" spans="1:9" ht="15" customHeight="1">
      <c r="A7" s="96" t="s">
        <v>221</v>
      </c>
      <c r="B7" s="97" t="s">
        <v>566</v>
      </c>
      <c r="C7" s="97"/>
      <c r="D7" s="97"/>
      <c r="E7" s="98"/>
      <c r="F7" s="294"/>
      <c r="G7" s="295"/>
      <c r="H7" s="54"/>
    </row>
    <row r="8" spans="1:9" ht="15" customHeight="1">
      <c r="A8" s="63" t="s">
        <v>223</v>
      </c>
      <c r="B8" s="64" t="s">
        <v>224</v>
      </c>
      <c r="C8" s="65">
        <v>80</v>
      </c>
      <c r="D8" s="66">
        <v>1500</v>
      </c>
      <c r="E8" s="67">
        <f>C8*D8</f>
        <v>120000</v>
      </c>
      <c r="F8" s="68"/>
      <c r="G8" s="69"/>
      <c r="H8" s="114"/>
    </row>
    <row r="9" spans="1:9" ht="15" customHeight="1">
      <c r="A9" s="63" t="s">
        <v>225</v>
      </c>
      <c r="B9" s="64" t="s">
        <v>226</v>
      </c>
      <c r="C9" s="65"/>
      <c r="D9" s="66"/>
      <c r="E9" s="67">
        <v>5000</v>
      </c>
      <c r="F9" s="68"/>
      <c r="G9" s="69"/>
      <c r="H9" s="114"/>
    </row>
    <row r="10" spans="1:9" ht="15" customHeight="1">
      <c r="A10" s="63" t="s">
        <v>227</v>
      </c>
      <c r="B10" s="64" t="s">
        <v>567</v>
      </c>
      <c r="C10" s="65"/>
      <c r="D10" s="66"/>
      <c r="E10" s="67">
        <v>12500</v>
      </c>
      <c r="F10" s="68"/>
      <c r="G10" s="69"/>
      <c r="H10" s="114"/>
    </row>
    <row r="11" spans="1:9" ht="15" customHeight="1">
      <c r="A11" s="63" t="s">
        <v>229</v>
      </c>
      <c r="B11" s="64" t="s">
        <v>230</v>
      </c>
      <c r="C11" s="65"/>
      <c r="D11" s="66"/>
      <c r="E11" s="67">
        <v>50000</v>
      </c>
      <c r="F11" s="68"/>
      <c r="G11" s="69"/>
      <c r="H11" s="114"/>
    </row>
    <row r="12" spans="1:9" ht="15" customHeight="1">
      <c r="A12" s="74" t="s">
        <v>231</v>
      </c>
      <c r="B12" s="100"/>
      <c r="C12" s="100"/>
      <c r="D12" s="101"/>
      <c r="E12" s="75">
        <f>SUM(E8:E11)</f>
        <v>187500</v>
      </c>
      <c r="F12" s="75">
        <v>0</v>
      </c>
      <c r="G12" s="76">
        <f>E12-F12</f>
        <v>187500</v>
      </c>
      <c r="H12" s="115"/>
    </row>
    <row r="13" spans="1:9" ht="15" customHeight="1">
      <c r="A13" s="62" t="s">
        <v>232</v>
      </c>
      <c r="B13" s="99" t="s">
        <v>233</v>
      </c>
      <c r="C13" s="99"/>
      <c r="D13" s="99"/>
      <c r="E13" s="62"/>
      <c r="F13" s="62"/>
      <c r="G13" s="62"/>
      <c r="H13" s="54"/>
    </row>
    <row r="14" spans="1:9" ht="15" customHeight="1">
      <c r="A14" s="63" t="s">
        <v>234</v>
      </c>
      <c r="B14" s="64" t="s">
        <v>235</v>
      </c>
      <c r="C14" s="65">
        <v>9</v>
      </c>
      <c r="D14" s="66">
        <v>750</v>
      </c>
      <c r="E14" s="67">
        <f>C14*D14</f>
        <v>6750</v>
      </c>
      <c r="F14" s="68"/>
      <c r="G14" s="69"/>
      <c r="H14" s="114"/>
    </row>
    <row r="15" spans="1:9" ht="15" customHeight="1">
      <c r="A15" s="63" t="s">
        <v>236</v>
      </c>
      <c r="B15" s="64"/>
      <c r="C15" s="65">
        <v>1</v>
      </c>
      <c r="D15" s="66">
        <v>300</v>
      </c>
      <c r="E15" s="67">
        <f>C15*D15</f>
        <v>300</v>
      </c>
      <c r="F15" s="68"/>
      <c r="G15" s="69"/>
      <c r="H15" s="114"/>
    </row>
    <row r="16" spans="1:9" ht="15" customHeight="1">
      <c r="A16" s="63" t="s">
        <v>237</v>
      </c>
      <c r="B16" s="64"/>
      <c r="C16" s="65">
        <v>15</v>
      </c>
      <c r="D16" s="66">
        <v>180</v>
      </c>
      <c r="E16" s="67"/>
      <c r="F16" s="68">
        <f>C16*D16</f>
        <v>2700</v>
      </c>
      <c r="G16" s="69"/>
      <c r="H16" s="114"/>
    </row>
    <row r="17" spans="1:8" ht="15" customHeight="1">
      <c r="A17" s="70" t="s">
        <v>238</v>
      </c>
      <c r="B17" s="71"/>
      <c r="C17" s="72">
        <v>6</v>
      </c>
      <c r="D17" s="73">
        <v>100</v>
      </c>
      <c r="E17" s="67"/>
      <c r="F17" s="68">
        <f>C17*D17</f>
        <v>600</v>
      </c>
      <c r="G17" s="69"/>
      <c r="H17" s="114"/>
    </row>
    <row r="18" spans="1:8" ht="15" customHeight="1">
      <c r="A18" s="70" t="s">
        <v>239</v>
      </c>
      <c r="B18" s="71"/>
      <c r="C18" s="72">
        <v>30</v>
      </c>
      <c r="D18" s="73">
        <v>290</v>
      </c>
      <c r="E18" s="67"/>
      <c r="F18" s="68">
        <f>C18*D18</f>
        <v>8700</v>
      </c>
      <c r="G18" s="69"/>
      <c r="H18" s="114"/>
    </row>
    <row r="19" spans="1:8" ht="15" customHeight="1">
      <c r="A19" s="70" t="s">
        <v>240</v>
      </c>
      <c r="B19" s="71"/>
      <c r="C19" s="72">
        <v>4</v>
      </c>
      <c r="D19" s="73">
        <v>50</v>
      </c>
      <c r="E19" s="67"/>
      <c r="F19" s="68">
        <f>C19*D19</f>
        <v>200</v>
      </c>
      <c r="G19" s="69"/>
      <c r="H19" s="114"/>
    </row>
    <row r="20" spans="1:8" ht="15" customHeight="1">
      <c r="A20" s="296" t="s">
        <v>241</v>
      </c>
      <c r="B20" s="297"/>
      <c r="C20" s="298">
        <v>2</v>
      </c>
      <c r="D20" s="73">
        <v>590</v>
      </c>
      <c r="E20" s="67"/>
      <c r="F20" s="68">
        <f>C20*D20</f>
        <v>1180</v>
      </c>
      <c r="G20" s="69"/>
      <c r="H20" s="114"/>
    </row>
    <row r="21" spans="1:8" ht="15" customHeight="1">
      <c r="A21" s="296" t="s">
        <v>242</v>
      </c>
      <c r="B21" s="297"/>
      <c r="C21" s="298">
        <v>10</v>
      </c>
      <c r="D21" s="73">
        <f>(C18+C19+C20)*5</f>
        <v>180</v>
      </c>
      <c r="E21" s="67">
        <f>C21*D21</f>
        <v>1800</v>
      </c>
      <c r="F21" s="68"/>
      <c r="G21" s="69"/>
      <c r="H21" s="114"/>
    </row>
    <row r="22" spans="1:8" ht="15" customHeight="1">
      <c r="A22" s="74" t="s">
        <v>243</v>
      </c>
      <c r="B22" s="100"/>
      <c r="C22" s="100"/>
      <c r="D22" s="101"/>
      <c r="E22" s="75">
        <f>SUM(E13:E21)</f>
        <v>8850</v>
      </c>
      <c r="F22" s="75">
        <f>SUM(F8:F21)</f>
        <v>13380</v>
      </c>
      <c r="G22" s="76">
        <f>E22-F22</f>
        <v>-4530</v>
      </c>
      <c r="H22" s="115"/>
    </row>
    <row r="23" spans="1:8" ht="15" customHeight="1">
      <c r="A23" s="62" t="s">
        <v>244</v>
      </c>
      <c r="B23" s="99" t="s">
        <v>245</v>
      </c>
      <c r="C23" s="99"/>
      <c r="D23" s="99"/>
      <c r="E23" s="62"/>
      <c r="F23" s="62"/>
      <c r="G23" s="62"/>
      <c r="H23" s="54"/>
    </row>
    <row r="24" spans="1:8" ht="15" customHeight="1">
      <c r="A24" s="63" t="s">
        <v>246</v>
      </c>
      <c r="B24" s="64" t="s">
        <v>235</v>
      </c>
      <c r="C24" s="65">
        <v>6</v>
      </c>
      <c r="D24" s="66">
        <v>750</v>
      </c>
      <c r="E24" s="67">
        <f>C24*D24</f>
        <v>4500</v>
      </c>
      <c r="F24" s="68"/>
      <c r="G24" s="69"/>
      <c r="H24" s="114"/>
    </row>
    <row r="25" spans="1:8" ht="15" customHeight="1">
      <c r="A25" s="63" t="s">
        <v>247</v>
      </c>
      <c r="B25" s="64"/>
      <c r="C25" s="65">
        <v>6</v>
      </c>
      <c r="D25" s="66">
        <v>500</v>
      </c>
      <c r="E25" s="67">
        <f>C25*D25</f>
        <v>3000</v>
      </c>
      <c r="F25" s="68"/>
      <c r="G25" s="69"/>
      <c r="H25" s="114"/>
    </row>
    <row r="26" spans="1:8" ht="15" customHeight="1">
      <c r="A26" s="63" t="s">
        <v>248</v>
      </c>
      <c r="B26" s="64" t="s">
        <v>249</v>
      </c>
      <c r="C26" s="65">
        <v>15</v>
      </c>
      <c r="D26" s="66">
        <v>200</v>
      </c>
      <c r="E26" s="67"/>
      <c r="F26" s="68">
        <f>C26*D26</f>
        <v>3000</v>
      </c>
      <c r="G26" s="69"/>
      <c r="H26" s="114"/>
    </row>
    <row r="27" spans="1:8" ht="15" customHeight="1">
      <c r="A27" s="70" t="s">
        <v>238</v>
      </c>
      <c r="B27" s="71"/>
      <c r="C27" s="72">
        <v>2</v>
      </c>
      <c r="D27" s="73">
        <v>390</v>
      </c>
      <c r="E27" s="67"/>
      <c r="F27" s="68">
        <f>C27*D27</f>
        <v>780</v>
      </c>
      <c r="G27" s="69"/>
      <c r="H27" s="114"/>
    </row>
    <row r="28" spans="1:8" ht="15" customHeight="1">
      <c r="A28" s="70" t="s">
        <v>239</v>
      </c>
      <c r="B28" s="71"/>
      <c r="C28" s="72">
        <v>30</v>
      </c>
      <c r="D28" s="73">
        <v>290</v>
      </c>
      <c r="E28" s="67"/>
      <c r="F28" s="68">
        <f>C28*D28</f>
        <v>8700</v>
      </c>
      <c r="G28" s="69"/>
      <c r="H28" s="114"/>
    </row>
    <row r="29" spans="1:8" ht="15" customHeight="1">
      <c r="A29" s="70" t="s">
        <v>240</v>
      </c>
      <c r="B29" s="71"/>
      <c r="C29" s="72">
        <v>4</v>
      </c>
      <c r="D29" s="73">
        <v>50</v>
      </c>
      <c r="E29" s="67"/>
      <c r="F29" s="68">
        <f>C29*D29</f>
        <v>200</v>
      </c>
      <c r="G29" s="69"/>
      <c r="H29" s="114"/>
    </row>
    <row r="30" spans="1:8" ht="15" customHeight="1">
      <c r="A30" s="296" t="s">
        <v>241</v>
      </c>
      <c r="B30" s="297"/>
      <c r="C30" s="298">
        <v>2</v>
      </c>
      <c r="D30" s="299">
        <v>590</v>
      </c>
      <c r="E30" s="67"/>
      <c r="F30" s="68">
        <f>C30*D30</f>
        <v>1180</v>
      </c>
      <c r="G30" s="69"/>
      <c r="H30" s="114"/>
    </row>
    <row r="31" spans="1:8" ht="15" customHeight="1">
      <c r="A31" s="296" t="s">
        <v>242</v>
      </c>
      <c r="B31" s="297"/>
      <c r="C31" s="298">
        <v>6</v>
      </c>
      <c r="D31" s="299">
        <f>(C28+C29+C30)*5</f>
        <v>180</v>
      </c>
      <c r="E31" s="67">
        <f>C31*D31</f>
        <v>1080</v>
      </c>
      <c r="F31" s="68"/>
      <c r="G31" s="69"/>
      <c r="H31" s="114"/>
    </row>
    <row r="32" spans="1:8" ht="15" customHeight="1">
      <c r="A32" s="74" t="s">
        <v>250</v>
      </c>
      <c r="B32" s="100"/>
      <c r="C32" s="100"/>
      <c r="D32" s="101"/>
      <c r="E32" s="75">
        <f>SUM(E24:E31)</f>
        <v>8580</v>
      </c>
      <c r="F32" s="75">
        <f>SUM(F24:F31)</f>
        <v>13860</v>
      </c>
      <c r="G32" s="76">
        <f>E32-F32</f>
        <v>-5280</v>
      </c>
      <c r="H32" s="115"/>
    </row>
    <row r="33" spans="1:8" ht="15" customHeight="1">
      <c r="A33" s="62" t="s">
        <v>251</v>
      </c>
      <c r="B33" s="99" t="s">
        <v>252</v>
      </c>
      <c r="C33" s="99"/>
      <c r="D33" s="99"/>
      <c r="E33" s="62"/>
      <c r="F33" s="62"/>
      <c r="G33" s="62"/>
      <c r="H33" s="54"/>
    </row>
    <row r="34" spans="1:8" ht="15" customHeight="1">
      <c r="A34" s="63" t="s">
        <v>234</v>
      </c>
      <c r="B34" s="64" t="s">
        <v>235</v>
      </c>
      <c r="C34" s="65">
        <v>9</v>
      </c>
      <c r="D34" s="66">
        <v>750</v>
      </c>
      <c r="E34" s="67">
        <f>C34*D34</f>
        <v>6750</v>
      </c>
      <c r="F34" s="68"/>
      <c r="G34" s="69"/>
      <c r="H34" s="114"/>
    </row>
    <row r="35" spans="1:8" ht="15" customHeight="1">
      <c r="A35" s="63" t="s">
        <v>236</v>
      </c>
      <c r="B35" s="64"/>
      <c r="C35" s="65">
        <v>1</v>
      </c>
      <c r="D35" s="66">
        <v>300</v>
      </c>
      <c r="E35" s="67">
        <f>C35*D35</f>
        <v>300</v>
      </c>
      <c r="F35" s="68"/>
      <c r="G35" s="69"/>
      <c r="H35" s="114"/>
    </row>
    <row r="36" spans="1:8" ht="15" customHeight="1">
      <c r="A36" s="63" t="s">
        <v>253</v>
      </c>
      <c r="B36" s="64"/>
      <c r="C36" s="65">
        <v>25</v>
      </c>
      <c r="D36" s="66">
        <v>180</v>
      </c>
      <c r="E36" s="67"/>
      <c r="F36" s="68">
        <f t="shared" ref="F36:F40" si="0">C36*D36</f>
        <v>4500</v>
      </c>
      <c r="G36" s="69"/>
      <c r="H36" s="114"/>
    </row>
    <row r="37" spans="1:8" ht="15" customHeight="1">
      <c r="A37" s="70" t="s">
        <v>238</v>
      </c>
      <c r="B37" s="71"/>
      <c r="C37" s="72">
        <v>10</v>
      </c>
      <c r="D37" s="73">
        <v>100</v>
      </c>
      <c r="E37" s="67"/>
      <c r="F37" s="68">
        <f t="shared" si="0"/>
        <v>1000</v>
      </c>
      <c r="G37" s="69"/>
      <c r="H37" s="114"/>
    </row>
    <row r="38" spans="1:8" ht="15" customHeight="1">
      <c r="A38" s="70" t="s">
        <v>254</v>
      </c>
      <c r="B38" s="71"/>
      <c r="C38" s="72">
        <v>50</v>
      </c>
      <c r="D38" s="73">
        <v>290</v>
      </c>
      <c r="E38" s="67"/>
      <c r="F38" s="68">
        <f t="shared" si="0"/>
        <v>14500</v>
      </c>
      <c r="G38" s="69"/>
      <c r="H38" s="114"/>
    </row>
    <row r="39" spans="1:8" ht="15" customHeight="1">
      <c r="A39" s="70" t="s">
        <v>255</v>
      </c>
      <c r="B39" s="71" t="s">
        <v>256</v>
      </c>
      <c r="C39" s="72">
        <v>10</v>
      </c>
      <c r="D39" s="73">
        <v>160</v>
      </c>
      <c r="E39" s="67">
        <f>C39*D39</f>
        <v>1600</v>
      </c>
      <c r="F39" s="68"/>
      <c r="G39" s="69"/>
      <c r="H39" s="114"/>
    </row>
    <row r="40" spans="1:8" ht="15" customHeight="1">
      <c r="A40" s="70" t="s">
        <v>240</v>
      </c>
      <c r="B40" s="71" t="s">
        <v>257</v>
      </c>
      <c r="C40" s="72">
        <v>6</v>
      </c>
      <c r="D40" s="73">
        <v>50</v>
      </c>
      <c r="E40" s="67"/>
      <c r="F40" s="68">
        <f t="shared" si="0"/>
        <v>300</v>
      </c>
      <c r="G40" s="69"/>
      <c r="H40" s="114"/>
    </row>
    <row r="41" spans="1:8" ht="15" customHeight="1">
      <c r="A41" s="70" t="s">
        <v>258</v>
      </c>
      <c r="B41" s="71"/>
      <c r="C41" s="72">
        <v>2</v>
      </c>
      <c r="D41" s="73">
        <v>500</v>
      </c>
      <c r="E41" s="67">
        <f>C41*D41</f>
        <v>1000</v>
      </c>
      <c r="F41" s="68"/>
      <c r="G41" s="69"/>
      <c r="H41" s="114"/>
    </row>
    <row r="42" spans="1:8" ht="15" customHeight="1">
      <c r="A42" s="70" t="s">
        <v>242</v>
      </c>
      <c r="B42" s="71"/>
      <c r="C42" s="72">
        <v>10</v>
      </c>
      <c r="D42" s="73">
        <f>(C38+C40)*5</f>
        <v>280</v>
      </c>
      <c r="E42" s="67">
        <f>C42*D42</f>
        <v>2800</v>
      </c>
      <c r="F42" s="68"/>
      <c r="G42" s="69"/>
      <c r="H42" s="114"/>
    </row>
    <row r="43" spans="1:8" ht="15" customHeight="1">
      <c r="A43" s="74" t="s">
        <v>259</v>
      </c>
      <c r="B43" s="100"/>
      <c r="C43" s="100"/>
      <c r="D43" s="101"/>
      <c r="E43" s="75">
        <f>SUM(E33:E42)</f>
        <v>12450</v>
      </c>
      <c r="F43" s="75">
        <f>SUM(F33:F42)</f>
        <v>20300</v>
      </c>
      <c r="G43" s="76">
        <f>E43-F43</f>
        <v>-7850</v>
      </c>
    </row>
    <row r="44" spans="1:8" ht="15" customHeight="1">
      <c r="A44" s="62" t="s">
        <v>260</v>
      </c>
      <c r="B44" s="99" t="s">
        <v>261</v>
      </c>
      <c r="C44" s="99"/>
      <c r="D44" s="99"/>
      <c r="E44" s="62"/>
      <c r="F44" s="62"/>
      <c r="G44" s="62"/>
      <c r="H44" s="54"/>
    </row>
    <row r="45" spans="1:8" ht="15" customHeight="1">
      <c r="A45" s="63" t="s">
        <v>262</v>
      </c>
      <c r="B45" s="64" t="s">
        <v>263</v>
      </c>
      <c r="C45" s="65">
        <v>150</v>
      </c>
      <c r="D45" s="66">
        <v>200</v>
      </c>
      <c r="E45" s="67"/>
      <c r="F45" s="68">
        <f>C45*D45</f>
        <v>30000</v>
      </c>
      <c r="G45" s="69"/>
      <c r="H45" s="114"/>
    </row>
    <row r="46" spans="1:8" ht="15" customHeight="1">
      <c r="A46" s="63" t="s">
        <v>264</v>
      </c>
      <c r="B46" s="64"/>
      <c r="C46" s="65">
        <v>5</v>
      </c>
      <c r="D46" s="66">
        <f>60*5</f>
        <v>300</v>
      </c>
      <c r="E46" s="67">
        <f>D46*C46</f>
        <v>1500</v>
      </c>
      <c r="F46" s="68"/>
      <c r="G46" s="69"/>
      <c r="H46" s="114"/>
    </row>
    <row r="47" spans="1:8" ht="15" customHeight="1">
      <c r="A47" s="63" t="s">
        <v>234</v>
      </c>
      <c r="B47" s="205" t="s">
        <v>235</v>
      </c>
      <c r="C47" s="65">
        <v>5</v>
      </c>
      <c r="D47" s="66">
        <v>750</v>
      </c>
      <c r="E47" s="67">
        <f>C47*D47</f>
        <v>3750</v>
      </c>
      <c r="F47" s="68"/>
      <c r="G47" s="69"/>
      <c r="H47" s="74" t="s">
        <v>265</v>
      </c>
    </row>
    <row r="48" spans="1:8" ht="15" customHeight="1">
      <c r="A48" s="74" t="s">
        <v>266</v>
      </c>
      <c r="B48" s="100"/>
      <c r="C48" s="100"/>
      <c r="D48" s="101"/>
      <c r="E48" s="75">
        <f>SUM(E45:E47)</f>
        <v>5250</v>
      </c>
      <c r="F48" s="75">
        <f>SUM(F45:F47)</f>
        <v>30000</v>
      </c>
      <c r="G48" s="76">
        <f>E48-F48</f>
        <v>-24750</v>
      </c>
      <c r="H48" s="116">
        <f>G22+G32+G43+G48</f>
        <v>-42410</v>
      </c>
    </row>
    <row r="49" spans="1:9" ht="15" customHeight="1">
      <c r="A49" s="62" t="s">
        <v>568</v>
      </c>
      <c r="B49" s="99" t="s">
        <v>569</v>
      </c>
      <c r="C49" s="99"/>
      <c r="D49" s="99"/>
      <c r="E49" s="62"/>
      <c r="F49" s="62"/>
      <c r="G49" s="62"/>
      <c r="H49" s="54"/>
    </row>
    <row r="50" spans="1:9" ht="15" customHeight="1">
      <c r="A50" s="63" t="s">
        <v>268</v>
      </c>
      <c r="B50" s="64" t="s">
        <v>269</v>
      </c>
      <c r="C50" s="65"/>
      <c r="D50" s="66"/>
      <c r="E50" s="67">
        <v>20000</v>
      </c>
      <c r="F50" s="68"/>
      <c r="G50" s="69"/>
      <c r="H50" s="114"/>
    </row>
    <row r="51" spans="1:9" ht="15" customHeight="1">
      <c r="A51" s="63" t="s">
        <v>270</v>
      </c>
      <c r="B51" s="64" t="s">
        <v>570</v>
      </c>
      <c r="C51" s="65">
        <v>15</v>
      </c>
      <c r="D51" s="66">
        <v>200</v>
      </c>
      <c r="E51" s="67">
        <f>C51*D51</f>
        <v>3000</v>
      </c>
      <c r="F51" s="68"/>
      <c r="G51" s="69"/>
      <c r="H51" s="114"/>
    </row>
    <row r="52" spans="1:9" ht="15" customHeight="1">
      <c r="A52" s="63" t="s">
        <v>571</v>
      </c>
      <c r="B52" s="64"/>
      <c r="C52" s="65"/>
      <c r="D52" s="66"/>
      <c r="E52" s="67">
        <v>1000</v>
      </c>
      <c r="F52" s="68"/>
      <c r="G52" s="69"/>
      <c r="H52" s="114"/>
    </row>
    <row r="53" spans="1:9" ht="15" customHeight="1">
      <c r="A53" s="63" t="s">
        <v>156</v>
      </c>
      <c r="B53" s="64" t="s">
        <v>274</v>
      </c>
      <c r="C53" s="65">
        <v>15</v>
      </c>
      <c r="D53" s="66">
        <v>1500</v>
      </c>
      <c r="E53" s="67">
        <f>C53*D53</f>
        <v>22500</v>
      </c>
      <c r="F53" s="68"/>
      <c r="G53" s="69"/>
      <c r="H53" s="114"/>
    </row>
    <row r="54" spans="1:9" ht="15" customHeight="1">
      <c r="A54" s="74" t="s">
        <v>572</v>
      </c>
      <c r="B54" s="100"/>
      <c r="C54" s="100"/>
      <c r="D54" s="101"/>
      <c r="E54" s="75">
        <f>SUM(E50:E53)</f>
        <v>46500</v>
      </c>
      <c r="F54" s="75"/>
      <c r="G54" s="76">
        <f>E54-F54</f>
        <v>46500</v>
      </c>
      <c r="H54" s="114"/>
    </row>
    <row r="55" spans="1:9" ht="15" customHeight="1">
      <c r="A55" s="62" t="s">
        <v>95</v>
      </c>
      <c r="B55" s="99" t="s">
        <v>573</v>
      </c>
      <c r="C55" s="99"/>
      <c r="D55" s="99"/>
      <c r="E55" s="62"/>
      <c r="F55" s="62"/>
      <c r="G55" s="62"/>
      <c r="H55" s="114"/>
      <c r="I55" t="s">
        <v>574</v>
      </c>
    </row>
    <row r="56" spans="1:9" ht="15" customHeight="1">
      <c r="A56" s="63" t="s">
        <v>575</v>
      </c>
      <c r="B56" s="64" t="s">
        <v>576</v>
      </c>
      <c r="C56" s="65">
        <v>1</v>
      </c>
      <c r="D56" s="66">
        <v>10000</v>
      </c>
      <c r="E56" s="67">
        <f>C56*D56</f>
        <v>10000</v>
      </c>
      <c r="F56" s="68"/>
      <c r="G56" s="69"/>
      <c r="H56" s="114"/>
      <c r="I56" t="s">
        <v>577</v>
      </c>
    </row>
    <row r="57" spans="1:9" ht="15" customHeight="1">
      <c r="A57" s="63" t="s">
        <v>578</v>
      </c>
      <c r="B57" s="64" t="s">
        <v>579</v>
      </c>
      <c r="C57" s="65">
        <v>10</v>
      </c>
      <c r="D57" s="66">
        <v>2000</v>
      </c>
      <c r="E57" s="67">
        <f>C57*D57</f>
        <v>20000</v>
      </c>
      <c r="F57" s="68"/>
      <c r="G57" s="69"/>
      <c r="H57" s="114"/>
      <c r="I57" t="s">
        <v>580</v>
      </c>
    </row>
    <row r="58" spans="1:9" ht="15" customHeight="1">
      <c r="A58" s="63" t="s">
        <v>581</v>
      </c>
      <c r="B58" s="64" t="s">
        <v>582</v>
      </c>
      <c r="C58" s="65">
        <v>4</v>
      </c>
      <c r="D58" s="66">
        <v>5000</v>
      </c>
      <c r="E58" s="67">
        <f>C58*D58</f>
        <v>20000</v>
      </c>
      <c r="F58" s="68"/>
      <c r="G58" s="69"/>
      <c r="H58" s="114"/>
      <c r="I58" t="s">
        <v>583</v>
      </c>
    </row>
    <row r="59" spans="1:9" ht="15" customHeight="1">
      <c r="A59" s="74" t="s">
        <v>584</v>
      </c>
      <c r="B59" s="100"/>
      <c r="C59" s="100"/>
      <c r="D59" s="101"/>
      <c r="E59" s="75">
        <f>SUM(E56:E58)</f>
        <v>50000</v>
      </c>
      <c r="F59" s="75">
        <v>0</v>
      </c>
      <c r="G59" s="76">
        <f>E59-F59</f>
        <v>50000</v>
      </c>
      <c r="H59" s="114"/>
    </row>
    <row r="60" spans="1:9" ht="15" customHeight="1">
      <c r="A60" s="62" t="s">
        <v>280</v>
      </c>
      <c r="B60" s="99" t="s">
        <v>281</v>
      </c>
      <c r="C60" s="99"/>
      <c r="D60" s="99"/>
      <c r="E60" s="62"/>
      <c r="F60" s="62"/>
      <c r="G60" s="62"/>
      <c r="H60" s="114"/>
    </row>
    <row r="61" spans="1:9" ht="15" customHeight="1">
      <c r="A61" s="63" t="s">
        <v>283</v>
      </c>
      <c r="B61" s="64"/>
      <c r="C61" s="65"/>
      <c r="D61" s="66"/>
      <c r="E61" s="67">
        <v>25000</v>
      </c>
      <c r="F61" s="68"/>
      <c r="G61" s="69"/>
      <c r="H61" s="114"/>
    </row>
    <row r="62" spans="1:9" ht="15" customHeight="1">
      <c r="A62" s="63" t="s">
        <v>585</v>
      </c>
      <c r="B62" s="64"/>
      <c r="C62" s="65"/>
      <c r="D62" s="66"/>
      <c r="E62" s="67">
        <v>5000</v>
      </c>
      <c r="F62" s="68"/>
      <c r="G62" s="69"/>
      <c r="H62" s="114"/>
    </row>
    <row r="63" spans="1:9" ht="15" customHeight="1">
      <c r="A63" s="74" t="s">
        <v>586</v>
      </c>
      <c r="B63" s="100"/>
      <c r="C63" s="100"/>
      <c r="D63" s="101"/>
      <c r="E63" s="75">
        <f>SUM(E61:E62)</f>
        <v>30000</v>
      </c>
      <c r="F63" s="75"/>
      <c r="G63" s="76">
        <f>E63-F63</f>
        <v>30000</v>
      </c>
      <c r="H63" s="114"/>
    </row>
    <row r="64" spans="1:9" ht="15" customHeight="1">
      <c r="A64" s="62" t="s">
        <v>96</v>
      </c>
      <c r="B64" s="99" t="s">
        <v>587</v>
      </c>
      <c r="C64" s="99"/>
      <c r="D64" s="99"/>
      <c r="E64" s="62"/>
      <c r="F64" s="62"/>
      <c r="G64" s="62"/>
      <c r="H64" s="54"/>
      <c r="I64" t="s">
        <v>588</v>
      </c>
    </row>
    <row r="65" spans="1:9" ht="15" customHeight="1">
      <c r="A65" s="63" t="s">
        <v>292</v>
      </c>
      <c r="B65" s="64" t="s">
        <v>293</v>
      </c>
      <c r="C65" s="65">
        <v>10</v>
      </c>
      <c r="D65" s="66">
        <v>5000</v>
      </c>
      <c r="E65" s="67">
        <f>C65*D65</f>
        <v>50000</v>
      </c>
      <c r="F65" s="68"/>
      <c r="G65" s="69"/>
      <c r="H65" s="114"/>
      <c r="I65" t="s">
        <v>294</v>
      </c>
    </row>
    <row r="66" spans="1:9" ht="15" customHeight="1">
      <c r="A66" s="63" t="s">
        <v>295</v>
      </c>
      <c r="B66" s="64" t="s">
        <v>296</v>
      </c>
      <c r="C66" s="65">
        <v>10</v>
      </c>
      <c r="D66" s="66">
        <v>5000</v>
      </c>
      <c r="E66" s="67">
        <f>C66*D66</f>
        <v>50000</v>
      </c>
      <c r="F66" s="68"/>
      <c r="G66" s="69"/>
      <c r="H66" s="114"/>
      <c r="I66" t="s">
        <v>297</v>
      </c>
    </row>
    <row r="67" spans="1:9" ht="15" customHeight="1">
      <c r="A67" s="63" t="s">
        <v>298</v>
      </c>
      <c r="B67" s="64" t="s">
        <v>589</v>
      </c>
      <c r="C67" s="65">
        <v>10</v>
      </c>
      <c r="D67" s="66">
        <v>2000</v>
      </c>
      <c r="E67" s="67">
        <f>C67*D67</f>
        <v>20000</v>
      </c>
      <c r="F67" s="68"/>
      <c r="G67" s="69"/>
      <c r="H67" s="114"/>
      <c r="I67" t="s">
        <v>590</v>
      </c>
    </row>
    <row r="68" spans="1:9" ht="15" customHeight="1">
      <c r="A68" s="74" t="s">
        <v>301</v>
      </c>
      <c r="B68" s="100"/>
      <c r="C68" s="100"/>
      <c r="D68" s="101"/>
      <c r="E68" s="75">
        <f>SUM(E65:E67)</f>
        <v>120000</v>
      </c>
      <c r="F68" s="75"/>
      <c r="G68" s="76">
        <f>E68-F68</f>
        <v>120000</v>
      </c>
      <c r="H68" s="114"/>
    </row>
    <row r="69" spans="1:9" ht="15" customHeight="1">
      <c r="A69" s="62" t="s">
        <v>90</v>
      </c>
      <c r="B69" s="99" t="s">
        <v>307</v>
      </c>
      <c r="C69" s="99"/>
      <c r="D69" s="99"/>
      <c r="E69" s="62"/>
      <c r="F69" s="62"/>
      <c r="G69" s="62"/>
      <c r="H69" s="54"/>
      <c r="I69" t="s">
        <v>308</v>
      </c>
    </row>
    <row r="70" spans="1:9" ht="15" customHeight="1">
      <c r="A70" s="63" t="s">
        <v>309</v>
      </c>
      <c r="B70" s="64" t="s">
        <v>310</v>
      </c>
      <c r="C70" s="65">
        <v>5</v>
      </c>
      <c r="D70" s="66">
        <v>2500</v>
      </c>
      <c r="E70" s="67">
        <f>C70*D70</f>
        <v>12500</v>
      </c>
      <c r="F70" s="68"/>
      <c r="G70" s="69"/>
      <c r="H70" s="114"/>
      <c r="I70" t="s">
        <v>311</v>
      </c>
    </row>
    <row r="71" spans="1:9" ht="15" customHeight="1">
      <c r="A71" s="63" t="s">
        <v>312</v>
      </c>
      <c r="B71" s="64" t="s">
        <v>313</v>
      </c>
      <c r="C71" s="65">
        <v>10</v>
      </c>
      <c r="D71" s="66">
        <v>1700</v>
      </c>
      <c r="E71" s="67">
        <f>C71*D71</f>
        <v>17000</v>
      </c>
      <c r="F71" s="68"/>
      <c r="G71" s="69"/>
      <c r="H71" s="114"/>
    </row>
    <row r="72" spans="1:9" ht="15" customHeight="1">
      <c r="A72" s="63" t="s">
        <v>314</v>
      </c>
      <c r="B72" s="64" t="s">
        <v>315</v>
      </c>
      <c r="C72" s="65">
        <v>2</v>
      </c>
      <c r="D72" s="66">
        <v>10000</v>
      </c>
      <c r="E72" s="67">
        <f>C72*D72</f>
        <v>20000</v>
      </c>
      <c r="F72" s="68"/>
      <c r="G72" s="69"/>
      <c r="H72" s="114"/>
    </row>
    <row r="73" spans="1:9" ht="15" customHeight="1">
      <c r="A73" s="63" t="s">
        <v>316</v>
      </c>
      <c r="B73" s="64" t="s">
        <v>317</v>
      </c>
      <c r="C73" s="65">
        <v>10</v>
      </c>
      <c r="D73" s="66">
        <v>2000</v>
      </c>
      <c r="E73" s="67">
        <f>C73*D73</f>
        <v>20000</v>
      </c>
      <c r="F73" s="68"/>
      <c r="G73" s="69"/>
      <c r="H73" s="114"/>
      <c r="I73" t="s">
        <v>318</v>
      </c>
    </row>
    <row r="74" spans="1:9" ht="15" customHeight="1">
      <c r="A74" s="74" t="s">
        <v>319</v>
      </c>
      <c r="B74" s="100"/>
      <c r="C74" s="100"/>
      <c r="D74" s="101"/>
      <c r="E74" s="75">
        <f>SUM(E70:E73)</f>
        <v>69500</v>
      </c>
      <c r="F74" s="75">
        <f>SUM(F70:F73)</f>
        <v>0</v>
      </c>
      <c r="G74" s="76">
        <f>E74-F74</f>
        <v>69500</v>
      </c>
      <c r="H74" s="114"/>
    </row>
    <row r="75" spans="1:9" ht="15" customHeight="1">
      <c r="A75" s="62" t="s">
        <v>591</v>
      </c>
      <c r="B75" s="99" t="s">
        <v>592</v>
      </c>
      <c r="C75" s="99"/>
      <c r="D75" s="99"/>
      <c r="E75" s="62"/>
      <c r="F75" s="62"/>
      <c r="G75" s="62"/>
      <c r="H75" s="54"/>
      <c r="I75" t="s">
        <v>322</v>
      </c>
    </row>
    <row r="76" spans="1:9" ht="15" customHeight="1">
      <c r="A76" s="63" t="s">
        <v>593</v>
      </c>
      <c r="B76" s="64" t="s">
        <v>594</v>
      </c>
      <c r="C76" s="65">
        <v>75</v>
      </c>
      <c r="D76" s="66">
        <v>2500</v>
      </c>
      <c r="E76" s="67"/>
      <c r="F76" s="68">
        <f>C76*D76</f>
        <v>187500</v>
      </c>
      <c r="G76" s="69"/>
      <c r="H76" s="114"/>
      <c r="I76" s="2" t="s">
        <v>595</v>
      </c>
    </row>
    <row r="77" spans="1:9" ht="15" customHeight="1">
      <c r="A77" s="63" t="s">
        <v>324</v>
      </c>
      <c r="B77" s="64" t="s">
        <v>325</v>
      </c>
      <c r="C77" s="65">
        <v>1</v>
      </c>
      <c r="D77" s="66">
        <v>46875</v>
      </c>
      <c r="E77" s="67">
        <f>C77*D77</f>
        <v>46875</v>
      </c>
      <c r="F77" s="68"/>
      <c r="G77" s="69"/>
      <c r="H77" s="114"/>
      <c r="I77" s="2" t="s">
        <v>596</v>
      </c>
    </row>
    <row r="78" spans="1:9" ht="15" customHeight="1">
      <c r="A78" s="63" t="s">
        <v>597</v>
      </c>
      <c r="B78" s="64" t="s">
        <v>598</v>
      </c>
      <c r="C78" s="65">
        <v>75</v>
      </c>
      <c r="D78" s="66">
        <v>3000</v>
      </c>
      <c r="E78" s="67">
        <f>C78*D78</f>
        <v>225000</v>
      </c>
      <c r="F78" s="68"/>
      <c r="G78" s="69"/>
      <c r="H78" s="114"/>
      <c r="I78" s="2" t="s">
        <v>599</v>
      </c>
    </row>
    <row r="79" spans="1:9" ht="15" customHeight="1">
      <c r="A79" s="63" t="s">
        <v>600</v>
      </c>
      <c r="B79" s="64" t="s">
        <v>601</v>
      </c>
      <c r="C79" s="65">
        <v>7</v>
      </c>
      <c r="D79" s="66">
        <v>6000</v>
      </c>
      <c r="E79" s="67">
        <f>C79*D79</f>
        <v>42000</v>
      </c>
      <c r="F79" s="68"/>
      <c r="G79" s="69"/>
      <c r="H79" s="114"/>
    </row>
    <row r="80" spans="1:9" ht="15" customHeight="1">
      <c r="A80" s="63" t="s">
        <v>331</v>
      </c>
      <c r="B80" s="64" t="s">
        <v>602</v>
      </c>
      <c r="C80" s="65">
        <v>100</v>
      </c>
      <c r="D80" s="66">
        <v>300</v>
      </c>
      <c r="E80" s="67">
        <f>C80*D80</f>
        <v>30000</v>
      </c>
      <c r="F80" s="68"/>
      <c r="G80" s="69"/>
      <c r="H80" s="114"/>
    </row>
    <row r="81" spans="1:9" ht="15" customHeight="1">
      <c r="A81" s="63" t="s">
        <v>333</v>
      </c>
      <c r="B81" s="64" t="s">
        <v>603</v>
      </c>
      <c r="C81" s="65">
        <v>6</v>
      </c>
      <c r="D81" s="66">
        <v>10000</v>
      </c>
      <c r="E81" s="67">
        <f>C81*D81</f>
        <v>60000</v>
      </c>
      <c r="F81" s="68"/>
      <c r="G81" s="69"/>
      <c r="H81" s="115"/>
      <c r="I81" s="2" t="s">
        <v>335</v>
      </c>
    </row>
    <row r="82" spans="1:9" ht="15" customHeight="1">
      <c r="A82" s="74" t="s">
        <v>336</v>
      </c>
      <c r="B82" s="100"/>
      <c r="C82" s="100"/>
      <c r="D82" s="101"/>
      <c r="E82" s="75">
        <f>SUM(E76:E81)</f>
        <v>403875</v>
      </c>
      <c r="F82" s="75">
        <f>SUM(F76:F81)</f>
        <v>187500</v>
      </c>
      <c r="G82" s="76">
        <f>E82-F82</f>
        <v>216375</v>
      </c>
      <c r="H82" s="114"/>
    </row>
    <row r="83" spans="1:9" ht="15" customHeight="1">
      <c r="A83" s="62" t="s">
        <v>98</v>
      </c>
      <c r="B83" s="99" t="s">
        <v>604</v>
      </c>
      <c r="C83" s="99"/>
      <c r="D83" s="99"/>
      <c r="E83" s="62"/>
      <c r="F83" s="62"/>
      <c r="G83" s="62"/>
      <c r="H83" s="54"/>
    </row>
    <row r="84" spans="1:9" ht="15" customHeight="1">
      <c r="A84" s="63" t="s">
        <v>605</v>
      </c>
      <c r="B84" s="64" t="s">
        <v>606</v>
      </c>
      <c r="C84" s="65">
        <v>2</v>
      </c>
      <c r="D84" s="66">
        <v>4000</v>
      </c>
      <c r="E84" s="89">
        <f t="shared" ref="E84:E89" si="1">C84*D84</f>
        <v>8000</v>
      </c>
      <c r="F84" s="90"/>
      <c r="G84" s="69"/>
      <c r="H84" s="114"/>
    </row>
    <row r="85" spans="1:9" ht="15" customHeight="1">
      <c r="A85" s="63" t="s">
        <v>607</v>
      </c>
      <c r="B85" s="64" t="s">
        <v>608</v>
      </c>
      <c r="C85" s="65">
        <v>1</v>
      </c>
      <c r="D85" s="66">
        <v>3000</v>
      </c>
      <c r="E85" s="89">
        <f t="shared" si="1"/>
        <v>3000</v>
      </c>
      <c r="F85" s="90"/>
      <c r="G85" s="69"/>
      <c r="H85" s="114"/>
    </row>
    <row r="86" spans="1:9" ht="15" customHeight="1">
      <c r="A86" s="63" t="s">
        <v>225</v>
      </c>
      <c r="B86" s="64" t="s">
        <v>609</v>
      </c>
      <c r="C86" s="206">
        <v>1</v>
      </c>
      <c r="D86" s="66">
        <v>1000</v>
      </c>
      <c r="E86" s="89">
        <f t="shared" si="1"/>
        <v>1000</v>
      </c>
      <c r="F86" s="90"/>
      <c r="G86" s="69"/>
      <c r="H86" s="114"/>
    </row>
    <row r="87" spans="1:9" ht="15" customHeight="1">
      <c r="A87" s="63" t="s">
        <v>610</v>
      </c>
      <c r="B87" s="64" t="s">
        <v>611</v>
      </c>
      <c r="C87" s="206">
        <v>1</v>
      </c>
      <c r="D87" s="66">
        <v>1500</v>
      </c>
      <c r="E87" s="89">
        <f t="shared" si="1"/>
        <v>1500</v>
      </c>
      <c r="F87" s="90"/>
      <c r="G87" s="69"/>
      <c r="H87" s="114"/>
      <c r="I87" t="s">
        <v>612</v>
      </c>
    </row>
    <row r="88" spans="1:9" ht="15" customHeight="1">
      <c r="A88" s="63" t="s">
        <v>613</v>
      </c>
      <c r="B88" s="64" t="s">
        <v>614</v>
      </c>
      <c r="C88" s="206">
        <v>6</v>
      </c>
      <c r="D88" s="66">
        <v>1000</v>
      </c>
      <c r="E88" s="89">
        <f t="shared" si="1"/>
        <v>6000</v>
      </c>
      <c r="F88" s="90"/>
      <c r="G88" s="69"/>
      <c r="H88" s="114"/>
    </row>
    <row r="89" spans="1:9" ht="15" customHeight="1">
      <c r="A89" s="63" t="s">
        <v>356</v>
      </c>
      <c r="B89" s="64" t="s">
        <v>615</v>
      </c>
      <c r="C89" s="65">
        <v>1</v>
      </c>
      <c r="D89" s="66">
        <v>1500</v>
      </c>
      <c r="E89" s="89">
        <f t="shared" si="1"/>
        <v>1500</v>
      </c>
      <c r="F89" s="90"/>
      <c r="G89" s="69"/>
      <c r="H89" s="114"/>
    </row>
    <row r="90" spans="1:9" ht="15" customHeight="1">
      <c r="A90" s="63" t="s">
        <v>616</v>
      </c>
      <c r="B90" s="64" t="s">
        <v>617</v>
      </c>
      <c r="C90" s="65"/>
      <c r="D90" s="66"/>
      <c r="E90" s="89"/>
      <c r="F90" s="90"/>
      <c r="G90" s="69"/>
      <c r="H90" s="114"/>
      <c r="I90" t="s">
        <v>618</v>
      </c>
    </row>
    <row r="91" spans="1:9" ht="15" customHeight="1" thickBot="1">
      <c r="A91" s="91" t="s">
        <v>619</v>
      </c>
      <c r="B91" s="92"/>
      <c r="C91" s="92"/>
      <c r="D91" s="93"/>
      <c r="E91" s="94">
        <f>SUM(E84:E90)</f>
        <v>21000</v>
      </c>
      <c r="F91" s="94">
        <f>SUM(F84:F90)</f>
        <v>0</v>
      </c>
      <c r="G91" s="94">
        <f>E91-F91</f>
        <v>21000</v>
      </c>
      <c r="I91" t="s">
        <v>620</v>
      </c>
    </row>
    <row r="92" spans="1:9" ht="15" customHeight="1"/>
    <row r="93" spans="1:9" ht="15" customHeight="1"/>
    <row r="94" spans="1:9" ht="15" customHeight="1"/>
    <row r="95" spans="1:9" ht="15" customHeight="1"/>
    <row r="96" spans="1:9" ht="15" customHeight="1"/>
    <row r="97" spans="1:9" ht="15" customHeight="1"/>
    <row r="98" spans="1:9" ht="15" customHeight="1"/>
    <row r="99" spans="1:9" ht="15" customHeight="1"/>
    <row r="100" spans="1:9" ht="15" customHeight="1">
      <c r="A100" s="62" t="s">
        <v>100</v>
      </c>
      <c r="B100" s="99" t="s">
        <v>349</v>
      </c>
      <c r="C100" s="99"/>
      <c r="D100" s="99"/>
      <c r="E100" s="62"/>
      <c r="F100" s="62"/>
      <c r="G100" s="62"/>
      <c r="H100" s="114"/>
      <c r="I100" t="s">
        <v>350</v>
      </c>
    </row>
    <row r="101" spans="1:9" ht="15" customHeight="1">
      <c r="A101" s="63" t="s">
        <v>351</v>
      </c>
      <c r="B101" s="64" t="s">
        <v>621</v>
      </c>
      <c r="C101" s="65">
        <v>32</v>
      </c>
      <c r="D101" s="66">
        <v>3000</v>
      </c>
      <c r="E101" s="208">
        <f>C101*D101</f>
        <v>96000</v>
      </c>
      <c r="F101" s="90"/>
      <c r="G101" s="69"/>
      <c r="H101" s="114"/>
      <c r="I101" t="s">
        <v>353</v>
      </c>
    </row>
    <row r="102" spans="1:9" ht="15" customHeight="1">
      <c r="A102" s="63" t="s">
        <v>354</v>
      </c>
      <c r="B102" s="64" t="s">
        <v>355</v>
      </c>
      <c r="C102" s="65">
        <v>30</v>
      </c>
      <c r="D102" s="66">
        <v>1000</v>
      </c>
      <c r="E102" s="89"/>
      <c r="F102" s="90">
        <f>C102*D102</f>
        <v>30000</v>
      </c>
      <c r="G102" s="69"/>
      <c r="H102" s="114"/>
      <c r="I102" t="s">
        <v>622</v>
      </c>
    </row>
    <row r="103" spans="1:9" ht="15" customHeight="1">
      <c r="A103" s="63" t="s">
        <v>623</v>
      </c>
      <c r="B103" s="64" t="s">
        <v>624</v>
      </c>
      <c r="C103" s="206">
        <v>6</v>
      </c>
      <c r="D103" s="66">
        <v>350</v>
      </c>
      <c r="E103" s="89">
        <f>C103*D103</f>
        <v>2100</v>
      </c>
      <c r="F103" s="90"/>
      <c r="G103" s="69"/>
      <c r="H103" s="114"/>
      <c r="I103" t="s">
        <v>625</v>
      </c>
    </row>
    <row r="104" spans="1:9" ht="15" customHeight="1">
      <c r="A104" s="63" t="s">
        <v>356</v>
      </c>
      <c r="B104" s="64" t="s">
        <v>357</v>
      </c>
      <c r="C104" s="65">
        <v>4</v>
      </c>
      <c r="D104" s="66">
        <v>2500</v>
      </c>
      <c r="E104" s="89">
        <f>C104*D104</f>
        <v>10000</v>
      </c>
      <c r="F104" s="90"/>
      <c r="G104" s="69"/>
      <c r="H104" s="114"/>
    </row>
    <row r="105" spans="1:9" ht="15" customHeight="1" thickBot="1">
      <c r="A105" s="91" t="s">
        <v>358</v>
      </c>
      <c r="B105" s="92"/>
      <c r="C105" s="92"/>
      <c r="D105" s="93"/>
      <c r="E105" s="94">
        <f>SUM(E101:E104)</f>
        <v>108100</v>
      </c>
      <c r="F105" s="94">
        <f>SUM(F101:F104)</f>
        <v>30000</v>
      </c>
      <c r="G105" s="94">
        <f>E105-F105</f>
        <v>78100</v>
      </c>
      <c r="I105" s="159" t="s">
        <v>626</v>
      </c>
    </row>
    <row r="106" spans="1:9" ht="15" customHeight="1"/>
    <row r="107" spans="1:9" ht="15" customHeight="1"/>
    <row r="108" spans="1:9" ht="15" customHeight="1">
      <c r="A108" s="62" t="s">
        <v>24</v>
      </c>
      <c r="B108" s="99" t="s">
        <v>627</v>
      </c>
      <c r="C108" s="99"/>
      <c r="D108" s="99"/>
      <c r="E108" s="62"/>
      <c r="F108" s="62"/>
      <c r="G108" s="62"/>
      <c r="H108" s="114"/>
    </row>
    <row r="109" spans="1:9" ht="15" customHeight="1">
      <c r="A109" s="63" t="s">
        <v>360</v>
      </c>
      <c r="B109" s="64" t="s">
        <v>361</v>
      </c>
      <c r="C109" s="65">
        <v>26</v>
      </c>
      <c r="D109" s="66">
        <v>600</v>
      </c>
      <c r="E109" s="89"/>
      <c r="F109" s="90">
        <f>C109*D109</f>
        <v>15600</v>
      </c>
      <c r="G109" s="69"/>
      <c r="H109" s="114"/>
    </row>
    <row r="110" spans="1:9" ht="15" customHeight="1">
      <c r="A110" s="63" t="s">
        <v>362</v>
      </c>
      <c r="B110" s="64" t="s">
        <v>363</v>
      </c>
      <c r="C110" s="65">
        <v>20</v>
      </c>
      <c r="D110" s="66">
        <v>200</v>
      </c>
      <c r="E110" s="89"/>
      <c r="F110" s="90">
        <f>C110*D110</f>
        <v>4000</v>
      </c>
      <c r="G110" s="69"/>
      <c r="H110" s="114"/>
    </row>
    <row r="111" spans="1:9" ht="15" customHeight="1">
      <c r="A111" s="63" t="s">
        <v>366</v>
      </c>
      <c r="B111" s="64" t="s">
        <v>367</v>
      </c>
      <c r="C111" s="65">
        <v>6</v>
      </c>
      <c r="D111" s="66">
        <v>150</v>
      </c>
      <c r="E111" s="89">
        <f>C111*D111</f>
        <v>900</v>
      </c>
      <c r="F111" s="90"/>
      <c r="G111" s="69"/>
      <c r="H111" s="114"/>
    </row>
    <row r="112" spans="1:9" ht="15" customHeight="1">
      <c r="A112" s="63" t="s">
        <v>628</v>
      </c>
      <c r="B112" s="64" t="s">
        <v>367</v>
      </c>
      <c r="C112" s="65">
        <v>6</v>
      </c>
      <c r="D112" s="66">
        <v>40</v>
      </c>
      <c r="E112" s="89">
        <f>C112*D112</f>
        <v>240</v>
      </c>
      <c r="F112" s="90"/>
      <c r="G112" s="69"/>
      <c r="H112" s="114"/>
    </row>
    <row r="113" spans="1:8" ht="15" customHeight="1">
      <c r="A113" s="63" t="s">
        <v>370</v>
      </c>
      <c r="B113" s="64" t="s">
        <v>371</v>
      </c>
      <c r="C113" s="206">
        <v>64</v>
      </c>
      <c r="D113" s="66">
        <v>600</v>
      </c>
      <c r="E113" s="89">
        <f>C113*D113</f>
        <v>38400</v>
      </c>
      <c r="F113" s="90"/>
      <c r="G113" s="69"/>
      <c r="H113" s="114"/>
    </row>
    <row r="114" spans="1:8" ht="15" customHeight="1">
      <c r="A114" s="63" t="s">
        <v>372</v>
      </c>
      <c r="B114" s="64" t="s">
        <v>373</v>
      </c>
      <c r="C114" s="206">
        <v>1</v>
      </c>
      <c r="D114" s="66">
        <v>10000</v>
      </c>
      <c r="E114" s="89">
        <f>C114*D114</f>
        <v>10000</v>
      </c>
      <c r="F114" s="90"/>
      <c r="G114" s="69"/>
      <c r="H114" s="114"/>
    </row>
    <row r="115" spans="1:8" ht="15" customHeight="1">
      <c r="A115" s="63" t="s">
        <v>374</v>
      </c>
      <c r="B115" s="64" t="s">
        <v>629</v>
      </c>
      <c r="C115" s="65">
        <v>92</v>
      </c>
      <c r="D115" s="66">
        <v>100</v>
      </c>
      <c r="E115" s="89">
        <f>C115*D115</f>
        <v>9200</v>
      </c>
      <c r="F115" s="90"/>
      <c r="G115" s="69"/>
      <c r="H115" s="114"/>
    </row>
    <row r="116" spans="1:8" ht="15" customHeight="1" thickBot="1">
      <c r="A116" s="91" t="s">
        <v>376</v>
      </c>
      <c r="B116" s="92"/>
      <c r="C116" s="92"/>
      <c r="D116" s="93"/>
      <c r="E116" s="94">
        <f>SUM(E109:E115)</f>
        <v>58740</v>
      </c>
      <c r="F116" s="94">
        <f>SUM(F109:F115)</f>
        <v>19600</v>
      </c>
      <c r="G116" s="94">
        <f>E116-F116</f>
        <v>39140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932B-CED4-4B78-B9C2-CB6C962915E7}">
  <sheetPr>
    <tabColor rgb="FFFF0000"/>
  </sheetPr>
  <dimension ref="A1:G66"/>
  <sheetViews>
    <sheetView workbookViewId="0">
      <selection activeCell="I8" sqref="I8"/>
    </sheetView>
  </sheetViews>
  <sheetFormatPr baseColWidth="10" defaultColWidth="11.44140625" defaultRowHeight="13.2"/>
  <cols>
    <col min="1" max="1" width="27.88671875" bestFit="1" customWidth="1"/>
    <col min="2" max="2" width="25.88671875" bestFit="1" customWidth="1"/>
    <col min="3" max="4" width="14.88671875" bestFit="1" customWidth="1"/>
    <col min="5" max="5" width="14.88671875" customWidth="1"/>
    <col min="6" max="6" width="14.88671875" bestFit="1" customWidth="1"/>
  </cols>
  <sheetData>
    <row r="1" spans="1:7" ht="23.4">
      <c r="A1" s="371" t="s">
        <v>630</v>
      </c>
      <c r="B1" s="371"/>
      <c r="C1" s="371"/>
      <c r="D1" s="371"/>
      <c r="E1" s="371"/>
      <c r="F1" s="371"/>
      <c r="G1" s="371"/>
    </row>
    <row r="2" spans="1:7" ht="14.4">
      <c r="A2" s="198"/>
      <c r="F2" s="197"/>
    </row>
    <row r="3" spans="1:7" ht="14.4">
      <c r="A3" s="198"/>
      <c r="C3" s="197">
        <v>2023</v>
      </c>
      <c r="D3" s="197">
        <v>2024</v>
      </c>
      <c r="E3" s="197">
        <v>2025</v>
      </c>
      <c r="F3" s="199" t="s">
        <v>478</v>
      </c>
      <c r="G3" s="1" t="s">
        <v>215</v>
      </c>
    </row>
    <row r="4" spans="1:7" ht="14.4">
      <c r="A4" s="197" t="s">
        <v>631</v>
      </c>
      <c r="B4" s="197" t="s">
        <v>479</v>
      </c>
      <c r="F4" s="197"/>
      <c r="G4" s="1"/>
    </row>
    <row r="5" spans="1:7" ht="14.4">
      <c r="A5" s="198" t="s">
        <v>632</v>
      </c>
      <c r="C5" s="202">
        <v>525000</v>
      </c>
      <c r="D5" s="202">
        <v>710000</v>
      </c>
      <c r="E5" s="202"/>
      <c r="F5" s="203"/>
    </row>
    <row r="6" spans="1:7" ht="14.4">
      <c r="A6" s="198" t="s">
        <v>633</v>
      </c>
      <c r="C6" s="202">
        <v>30000</v>
      </c>
      <c r="D6" s="202">
        <v>67500</v>
      </c>
      <c r="E6" s="202"/>
      <c r="F6" s="203"/>
    </row>
    <row r="7" spans="1:7" ht="14.4">
      <c r="A7" s="198" t="s">
        <v>634</v>
      </c>
      <c r="C7" s="202">
        <v>78255</v>
      </c>
      <c r="D7" s="202">
        <v>109628</v>
      </c>
      <c r="E7" s="202"/>
      <c r="F7" s="203"/>
    </row>
    <row r="8" spans="1:7" ht="14.4">
      <c r="A8" s="198" t="s">
        <v>635</v>
      </c>
      <c r="C8" s="202">
        <v>38850</v>
      </c>
      <c r="D8" s="202">
        <v>54425</v>
      </c>
      <c r="E8" s="202"/>
      <c r="F8" s="203"/>
    </row>
    <row r="9" spans="1:7" ht="14.4">
      <c r="A9" s="198" t="s">
        <v>636</v>
      </c>
      <c r="C9" s="202">
        <v>66600</v>
      </c>
      <c r="D9" s="202">
        <v>93300</v>
      </c>
      <c r="E9" s="202"/>
      <c r="F9" s="203"/>
    </row>
    <row r="10" spans="1:7" ht="14.4">
      <c r="A10" s="198" t="s">
        <v>637</v>
      </c>
      <c r="C10" s="202">
        <v>50000</v>
      </c>
      <c r="D10" s="202">
        <v>27500</v>
      </c>
      <c r="E10" s="202"/>
      <c r="F10" s="203"/>
    </row>
    <row r="11" spans="1:7" ht="14.4">
      <c r="A11" s="198"/>
      <c r="C11" s="38"/>
      <c r="D11" s="38"/>
      <c r="E11" s="38"/>
      <c r="F11" s="203"/>
    </row>
    <row r="12" spans="1:7" ht="14.4">
      <c r="A12" s="198"/>
      <c r="C12" s="203">
        <v>788705</v>
      </c>
      <c r="D12" s="203">
        <v>1062353</v>
      </c>
      <c r="E12" s="203"/>
      <c r="F12" s="203">
        <v>1851058</v>
      </c>
    </row>
    <row r="13" spans="1:7" ht="14.4">
      <c r="A13" s="198"/>
      <c r="C13" s="38"/>
      <c r="D13" s="38"/>
      <c r="E13" s="38"/>
      <c r="F13" s="203"/>
    </row>
    <row r="14" spans="1:7" ht="14.4">
      <c r="A14" s="197" t="s">
        <v>638</v>
      </c>
      <c r="C14" s="38"/>
      <c r="D14" s="38"/>
      <c r="E14" s="38"/>
      <c r="F14" s="203"/>
    </row>
    <row r="15" spans="1:7" ht="14.4">
      <c r="A15" s="198" t="s">
        <v>639</v>
      </c>
      <c r="C15" s="202">
        <v>16000</v>
      </c>
      <c r="D15" s="202">
        <v>10600</v>
      </c>
      <c r="E15" s="202"/>
      <c r="F15" s="203"/>
      <c r="G15" s="198" t="s">
        <v>640</v>
      </c>
    </row>
    <row r="16" spans="1:7" ht="14.4">
      <c r="A16" s="198" t="s">
        <v>641</v>
      </c>
      <c r="C16" s="202">
        <v>24000</v>
      </c>
      <c r="D16" s="202">
        <v>16000</v>
      </c>
      <c r="E16" s="202"/>
      <c r="F16" s="203"/>
      <c r="G16" s="198" t="s">
        <v>642</v>
      </c>
    </row>
    <row r="17" spans="1:7" ht="14.4">
      <c r="A17" s="198" t="s">
        <v>643</v>
      </c>
      <c r="C17" s="202">
        <v>30000</v>
      </c>
      <c r="D17" s="202">
        <v>20000</v>
      </c>
      <c r="E17" s="202"/>
      <c r="F17" s="203"/>
      <c r="G17" s="198" t="s">
        <v>644</v>
      </c>
    </row>
    <row r="18" spans="1:7" ht="14.4">
      <c r="A18" s="198" t="s">
        <v>645</v>
      </c>
      <c r="C18" s="202">
        <v>7500</v>
      </c>
      <c r="D18" s="202">
        <v>10000</v>
      </c>
      <c r="E18" s="202"/>
      <c r="F18" s="203"/>
      <c r="G18" s="198" t="s">
        <v>646</v>
      </c>
    </row>
    <row r="19" spans="1:7" ht="14.4">
      <c r="A19" s="198" t="s">
        <v>647</v>
      </c>
      <c r="C19" s="202">
        <v>13500</v>
      </c>
      <c r="D19" s="202">
        <v>9000</v>
      </c>
      <c r="E19" s="202"/>
      <c r="F19" s="203"/>
      <c r="G19" s="198" t="s">
        <v>648</v>
      </c>
    </row>
    <row r="20" spans="1:7" ht="14.4">
      <c r="A20" s="198"/>
      <c r="C20" s="38"/>
      <c r="D20" s="38"/>
      <c r="E20" s="38"/>
      <c r="F20" s="203"/>
    </row>
    <row r="21" spans="1:7" ht="14.4">
      <c r="A21" s="198"/>
      <c r="C21" s="203">
        <v>91000</v>
      </c>
      <c r="D21" s="203">
        <v>65600</v>
      </c>
      <c r="E21" s="203"/>
      <c r="F21" s="203">
        <v>156600</v>
      </c>
    </row>
    <row r="22" spans="1:7" ht="14.4">
      <c r="A22" s="198"/>
      <c r="C22" s="38"/>
      <c r="D22" s="38"/>
      <c r="E22" s="38"/>
      <c r="F22" s="203"/>
    </row>
    <row r="23" spans="1:7" ht="14.4">
      <c r="A23" s="197" t="s">
        <v>649</v>
      </c>
      <c r="C23" s="38"/>
      <c r="D23" s="38"/>
      <c r="E23" s="38"/>
      <c r="F23" s="203"/>
    </row>
    <row r="24" spans="1:7" ht="57.6">
      <c r="A24" s="200" t="s">
        <v>650</v>
      </c>
      <c r="C24" s="38"/>
      <c r="D24" s="38"/>
      <c r="E24" s="38"/>
      <c r="F24" s="203"/>
    </row>
    <row r="25" spans="1:7" ht="14.4">
      <c r="A25" s="198"/>
      <c r="B25" s="198" t="s">
        <v>651</v>
      </c>
      <c r="C25" s="202">
        <v>25000</v>
      </c>
      <c r="D25" s="38"/>
      <c r="E25" s="38"/>
      <c r="F25" s="203"/>
      <c r="G25" s="198" t="s">
        <v>652</v>
      </c>
    </row>
    <row r="26" spans="1:7" ht="14.4">
      <c r="A26" s="198"/>
      <c r="B26" s="198" t="s">
        <v>653</v>
      </c>
      <c r="C26" s="202">
        <v>7200</v>
      </c>
      <c r="D26" s="38"/>
      <c r="E26" s="38"/>
      <c r="F26" s="203"/>
      <c r="G26" s="198" t="s">
        <v>654</v>
      </c>
    </row>
    <row r="27" spans="1:7" ht="14.4">
      <c r="A27" s="198"/>
      <c r="B27" s="198" t="s">
        <v>655</v>
      </c>
      <c r="C27" s="202">
        <v>3000</v>
      </c>
      <c r="D27" s="38"/>
      <c r="E27" s="38"/>
      <c r="F27" s="203"/>
      <c r="G27" s="198" t="s">
        <v>656</v>
      </c>
    </row>
    <row r="28" spans="1:7" ht="14.4">
      <c r="A28" s="198"/>
      <c r="B28" s="198" t="s">
        <v>657</v>
      </c>
      <c r="C28" s="202">
        <v>6340</v>
      </c>
      <c r="D28" s="38"/>
      <c r="E28" s="38"/>
      <c r="F28" s="203"/>
      <c r="G28" s="198" t="s">
        <v>658</v>
      </c>
    </row>
    <row r="29" spans="1:7" ht="44.4" customHeight="1">
      <c r="A29" s="200" t="s">
        <v>659</v>
      </c>
      <c r="B29" s="198" t="s">
        <v>651</v>
      </c>
      <c r="C29" s="202">
        <v>22500</v>
      </c>
      <c r="D29" s="38">
        <v>120000</v>
      </c>
      <c r="E29" s="38"/>
      <c r="F29" s="203"/>
      <c r="G29" s="198" t="s">
        <v>660</v>
      </c>
    </row>
    <row r="30" spans="1:7" ht="14.4">
      <c r="A30" s="198"/>
      <c r="B30" s="198" t="s">
        <v>653</v>
      </c>
      <c r="C30" s="202">
        <v>80000</v>
      </c>
      <c r="D30" s="38">
        <v>60000</v>
      </c>
      <c r="E30" s="38"/>
      <c r="F30" s="203"/>
      <c r="G30" s="198" t="s">
        <v>661</v>
      </c>
    </row>
    <row r="31" spans="1:7" ht="14.4">
      <c r="A31" s="198"/>
      <c r="B31" s="198" t="s">
        <v>662</v>
      </c>
      <c r="C31" s="202">
        <v>40000</v>
      </c>
      <c r="D31" s="38">
        <v>30000</v>
      </c>
      <c r="E31" s="38"/>
      <c r="F31" s="203"/>
      <c r="G31" s="198" t="s">
        <v>663</v>
      </c>
    </row>
    <row r="32" spans="1:7" ht="14.4">
      <c r="A32" s="198"/>
      <c r="B32" s="198" t="s">
        <v>664</v>
      </c>
      <c r="C32" s="202">
        <v>15000</v>
      </c>
      <c r="D32" s="38">
        <v>10000</v>
      </c>
      <c r="E32" s="38"/>
      <c r="F32" s="203"/>
      <c r="G32" s="198" t="s">
        <v>665</v>
      </c>
    </row>
    <row r="33" spans="1:7" ht="14.4">
      <c r="A33" s="198"/>
      <c r="C33" s="38"/>
      <c r="D33" s="119">
        <v>220000</v>
      </c>
      <c r="E33" s="119"/>
      <c r="F33" s="203">
        <v>220000</v>
      </c>
    </row>
    <row r="34" spans="1:7" ht="14.4">
      <c r="A34" s="198" t="s">
        <v>666</v>
      </c>
      <c r="C34" s="38"/>
      <c r="D34" s="38"/>
      <c r="E34" s="38"/>
      <c r="F34" s="203"/>
    </row>
    <row r="35" spans="1:7" ht="14.4">
      <c r="A35" s="198"/>
      <c r="B35" s="198" t="s">
        <v>651</v>
      </c>
      <c r="C35" s="38"/>
      <c r="D35" s="202">
        <v>20000</v>
      </c>
      <c r="E35" s="202"/>
      <c r="F35" s="203"/>
      <c r="G35" s="198" t="s">
        <v>667</v>
      </c>
    </row>
    <row r="36" spans="1:7" ht="14.4">
      <c r="A36" s="198"/>
      <c r="B36" s="198" t="s">
        <v>653</v>
      </c>
      <c r="C36" s="38"/>
      <c r="D36" s="202">
        <v>12000</v>
      </c>
      <c r="E36" s="202"/>
      <c r="F36" s="203"/>
      <c r="G36" s="198" t="s">
        <v>654</v>
      </c>
    </row>
    <row r="37" spans="1:7" ht="14.4">
      <c r="A37" s="198"/>
      <c r="B37" s="198" t="s">
        <v>657</v>
      </c>
      <c r="C37" s="38"/>
      <c r="D37" s="202">
        <v>9510</v>
      </c>
      <c r="E37" s="202"/>
      <c r="F37" s="203"/>
      <c r="G37" s="198" t="s">
        <v>668</v>
      </c>
    </row>
    <row r="38" spans="1:7" ht="14.4">
      <c r="A38" s="198"/>
      <c r="B38" s="198" t="s">
        <v>655</v>
      </c>
      <c r="C38" s="38"/>
      <c r="D38" s="202">
        <v>2500</v>
      </c>
      <c r="E38" s="202"/>
      <c r="F38" s="203"/>
      <c r="G38" s="198" t="s">
        <v>669</v>
      </c>
    </row>
    <row r="39" spans="1:7" ht="14.4">
      <c r="A39" s="198"/>
      <c r="B39" s="198" t="s">
        <v>664</v>
      </c>
      <c r="C39" s="38"/>
      <c r="D39" s="202">
        <v>2500</v>
      </c>
      <c r="E39" s="202"/>
      <c r="F39" s="203"/>
      <c r="G39" s="198" t="s">
        <v>670</v>
      </c>
    </row>
    <row r="40" spans="1:7" ht="14.4">
      <c r="A40" s="198"/>
      <c r="C40" s="38"/>
      <c r="D40" s="38"/>
      <c r="E40" s="38"/>
      <c r="F40" s="203"/>
    </row>
    <row r="41" spans="1:7" ht="14.4">
      <c r="A41" s="198"/>
      <c r="C41" s="203">
        <v>199040</v>
      </c>
      <c r="D41" s="203">
        <v>46510</v>
      </c>
      <c r="E41" s="203"/>
      <c r="F41" s="203">
        <v>245550</v>
      </c>
    </row>
    <row r="42" spans="1:7" ht="14.4">
      <c r="A42" s="198"/>
      <c r="C42" s="38"/>
      <c r="D42" s="38"/>
      <c r="E42" s="38"/>
      <c r="F42" s="203"/>
    </row>
    <row r="43" spans="1:7" ht="14.4">
      <c r="A43" s="197" t="s">
        <v>671</v>
      </c>
      <c r="C43" s="38"/>
      <c r="D43" s="38"/>
      <c r="E43" s="38"/>
      <c r="F43" s="203"/>
    </row>
    <row r="44" spans="1:7" ht="14.4">
      <c r="A44" s="198"/>
      <c r="B44" s="198" t="s">
        <v>672</v>
      </c>
      <c r="C44" s="202">
        <v>10000</v>
      </c>
      <c r="D44" s="202">
        <v>150000</v>
      </c>
      <c r="E44" s="202"/>
      <c r="F44" s="203"/>
      <c r="G44" s="198" t="s">
        <v>673</v>
      </c>
    </row>
    <row r="45" spans="1:7" ht="14.4">
      <c r="A45" s="198"/>
      <c r="B45" s="201" t="s">
        <v>674</v>
      </c>
      <c r="C45" s="202">
        <v>80000</v>
      </c>
      <c r="D45" s="38"/>
      <c r="E45" s="38"/>
      <c r="F45" s="203"/>
    </row>
    <row r="46" spans="1:7" ht="14.4">
      <c r="A46" s="198"/>
      <c r="B46" s="201"/>
      <c r="C46" s="203">
        <v>90000</v>
      </c>
      <c r="D46" s="203">
        <v>150000</v>
      </c>
      <c r="E46" s="203"/>
      <c r="F46" s="203">
        <v>240000</v>
      </c>
    </row>
    <row r="47" spans="1:7" ht="14.4">
      <c r="A47" s="197" t="s">
        <v>225</v>
      </c>
      <c r="C47" s="38"/>
      <c r="D47" s="38"/>
      <c r="E47" s="38"/>
      <c r="F47" s="203"/>
    </row>
    <row r="48" spans="1:7" ht="14.4">
      <c r="A48" s="198" t="s">
        <v>675</v>
      </c>
      <c r="C48" s="203">
        <v>10000</v>
      </c>
      <c r="D48" s="38"/>
      <c r="E48" s="38"/>
      <c r="F48" s="203">
        <v>10000</v>
      </c>
      <c r="G48" s="198"/>
    </row>
    <row r="49" spans="1:7" ht="14.4">
      <c r="A49" s="198"/>
      <c r="C49" s="38"/>
      <c r="D49" s="38"/>
      <c r="E49" s="38"/>
      <c r="F49" s="203"/>
    </row>
    <row r="50" spans="1:7" ht="14.4">
      <c r="A50" s="197" t="s">
        <v>676</v>
      </c>
      <c r="C50" s="38"/>
      <c r="D50" s="38"/>
      <c r="E50" s="38"/>
      <c r="F50" s="203"/>
    </row>
    <row r="51" spans="1:7" ht="14.4">
      <c r="A51" s="198"/>
      <c r="B51" s="198" t="s">
        <v>677</v>
      </c>
      <c r="C51" s="202">
        <v>2000</v>
      </c>
      <c r="D51" s="202">
        <v>5000</v>
      </c>
      <c r="E51" s="202"/>
      <c r="F51" s="203"/>
      <c r="G51" s="198" t="s">
        <v>678</v>
      </c>
    </row>
    <row r="52" spans="1:7" ht="14.4">
      <c r="A52" s="198"/>
      <c r="B52" s="198" t="s">
        <v>679</v>
      </c>
      <c r="C52" s="202">
        <v>10000</v>
      </c>
      <c r="D52" s="202">
        <v>22500</v>
      </c>
      <c r="E52" s="202"/>
      <c r="F52" s="203"/>
      <c r="G52" s="198" t="s">
        <v>680</v>
      </c>
    </row>
    <row r="53" spans="1:7" ht="14.4">
      <c r="A53" s="198"/>
      <c r="C53" s="203">
        <v>12000</v>
      </c>
      <c r="D53" s="203">
        <v>27500</v>
      </c>
      <c r="E53" s="203"/>
      <c r="F53" s="203">
        <v>39500</v>
      </c>
    </row>
    <row r="54" spans="1:7" ht="14.4">
      <c r="A54" s="197" t="s">
        <v>681</v>
      </c>
      <c r="C54" s="38"/>
      <c r="D54" s="38"/>
      <c r="E54" s="38"/>
      <c r="F54" s="203"/>
    </row>
    <row r="55" spans="1:7" ht="14.4">
      <c r="A55" s="198"/>
      <c r="B55" s="198" t="s">
        <v>682</v>
      </c>
      <c r="C55" s="203">
        <v>20000</v>
      </c>
      <c r="D55" s="203">
        <v>40000</v>
      </c>
      <c r="E55" s="203"/>
      <c r="F55" s="203">
        <v>60000</v>
      </c>
      <c r="G55" s="198" t="s">
        <v>683</v>
      </c>
    </row>
    <row r="56" spans="1:7" ht="14.4">
      <c r="A56" s="198"/>
      <c r="C56" s="38"/>
      <c r="D56" s="38"/>
      <c r="E56" s="38"/>
      <c r="F56" s="203"/>
    </row>
    <row r="57" spans="1:7" ht="14.4">
      <c r="A57" s="197" t="s">
        <v>684</v>
      </c>
      <c r="C57" s="38"/>
      <c r="D57" s="38"/>
      <c r="E57" s="38"/>
      <c r="F57" s="203"/>
    </row>
    <row r="58" spans="1:7" ht="14.4">
      <c r="A58" s="198"/>
      <c r="B58" s="198" t="s">
        <v>685</v>
      </c>
      <c r="C58" s="202">
        <v>52500</v>
      </c>
      <c r="D58" s="202">
        <v>157500</v>
      </c>
      <c r="E58" s="202"/>
      <c r="F58" s="203"/>
      <c r="G58" s="198" t="s">
        <v>686</v>
      </c>
    </row>
    <row r="59" spans="1:7" ht="14.4">
      <c r="A59" s="198"/>
      <c r="B59" s="198" t="s">
        <v>607</v>
      </c>
      <c r="C59" s="202">
        <v>40000</v>
      </c>
      <c r="D59" s="202">
        <v>30000</v>
      </c>
      <c r="E59" s="202"/>
      <c r="F59" s="203"/>
      <c r="G59" s="198" t="s">
        <v>687</v>
      </c>
    </row>
    <row r="60" spans="1:7" ht="14.4">
      <c r="A60" s="198"/>
      <c r="B60" s="198" t="s">
        <v>688</v>
      </c>
      <c r="C60" s="202">
        <v>10000</v>
      </c>
      <c r="D60" s="202">
        <v>200000</v>
      </c>
      <c r="E60" s="202"/>
      <c r="F60" s="203"/>
      <c r="G60" s="198" t="s">
        <v>689</v>
      </c>
    </row>
    <row r="61" spans="1:7" ht="14.4">
      <c r="A61" s="198"/>
      <c r="B61" s="198" t="s">
        <v>690</v>
      </c>
      <c r="C61" s="202">
        <v>25000</v>
      </c>
      <c r="D61" s="38"/>
      <c r="E61" s="38"/>
      <c r="F61" s="203"/>
      <c r="G61" s="198" t="s">
        <v>691</v>
      </c>
    </row>
    <row r="62" spans="1:7" ht="14.4">
      <c r="A62" s="198"/>
      <c r="C62" s="203">
        <v>127500</v>
      </c>
      <c r="D62" s="203">
        <v>387500</v>
      </c>
      <c r="E62" s="203"/>
      <c r="F62" s="203">
        <v>515000</v>
      </c>
    </row>
    <row r="63" spans="1:7" ht="14.4">
      <c r="A63" s="198"/>
      <c r="C63" s="38"/>
      <c r="D63" s="38"/>
      <c r="E63" s="38"/>
      <c r="F63" s="203"/>
    </row>
    <row r="64" spans="1:7" ht="14.4">
      <c r="A64" s="197" t="s">
        <v>141</v>
      </c>
      <c r="C64" s="203">
        <v>1338245</v>
      </c>
      <c r="D64" s="203">
        <v>1999463</v>
      </c>
      <c r="E64" s="203"/>
      <c r="F64" s="203">
        <v>3337708</v>
      </c>
      <c r="G64" s="198" t="s">
        <v>692</v>
      </c>
    </row>
    <row r="65" spans="1:6" ht="14.4">
      <c r="A65" s="198"/>
      <c r="C65" s="38"/>
      <c r="D65" s="38"/>
      <c r="E65" s="38"/>
      <c r="F65" s="203"/>
    </row>
    <row r="66" spans="1:6" ht="14.4">
      <c r="A66" s="198"/>
      <c r="C66" s="202">
        <v>3337708</v>
      </c>
      <c r="D66" s="38"/>
      <c r="E66" s="38"/>
      <c r="F66" s="203"/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9A33-1957-4D13-9F8F-BE56A30F4C91}">
  <sheetPr>
    <tabColor rgb="FFFF0000"/>
  </sheetPr>
  <dimension ref="A1:K101"/>
  <sheetViews>
    <sheetView topLeftCell="A4" workbookViewId="0">
      <selection activeCell="H33" sqref="H33"/>
    </sheetView>
  </sheetViews>
  <sheetFormatPr baseColWidth="10" defaultColWidth="11.44140625" defaultRowHeight="13.2"/>
  <cols>
    <col min="1" max="1" width="32" customWidth="1"/>
    <col min="2" max="2" width="40.6640625" customWidth="1"/>
    <col min="3" max="3" width="15.5546875" bestFit="1" customWidth="1"/>
    <col min="4" max="4" width="12.44140625" customWidth="1"/>
    <col min="5" max="7" width="16.33203125" bestFit="1" customWidth="1"/>
    <col min="8" max="8" width="22.33203125" customWidth="1"/>
    <col min="9" max="9" width="24.6640625" customWidth="1"/>
    <col min="10" max="10" width="16.33203125" customWidth="1"/>
    <col min="11" max="11" width="58" customWidth="1"/>
  </cols>
  <sheetData>
    <row r="1" spans="1:10" ht="33.6" thickBot="1">
      <c r="A1" s="45"/>
      <c r="B1" s="46" t="s">
        <v>693</v>
      </c>
      <c r="C1" s="46"/>
      <c r="D1" s="47"/>
      <c r="E1" s="47"/>
      <c r="F1" s="47"/>
      <c r="G1" s="47"/>
      <c r="H1" s="50"/>
      <c r="I1" s="50"/>
      <c r="J1" s="50"/>
    </row>
    <row r="2" spans="1:10" ht="33.6" thickTop="1">
      <c r="A2" s="48"/>
      <c r="B2" s="49"/>
      <c r="C2" s="48"/>
      <c r="D2" s="50"/>
      <c r="E2" s="50"/>
      <c r="F2" s="51"/>
      <c r="G2" s="52"/>
      <c r="H2" s="52"/>
      <c r="I2" s="52"/>
      <c r="J2" s="52"/>
    </row>
    <row r="3" spans="1:10" ht="13.8" thickBot="1">
      <c r="A3" s="53" t="s">
        <v>208</v>
      </c>
      <c r="B3" s="53" t="s">
        <v>209</v>
      </c>
      <c r="C3" s="53" t="s">
        <v>210</v>
      </c>
      <c r="D3" s="54"/>
      <c r="E3" s="54" t="s">
        <v>211</v>
      </c>
      <c r="F3" s="95" t="s">
        <v>694</v>
      </c>
    </row>
    <row r="4" spans="1:10" ht="16.2" thickBot="1">
      <c r="A4" s="55">
        <v>700000</v>
      </c>
      <c r="B4" s="56">
        <f>SUM(G8:G101)</f>
        <v>589820</v>
      </c>
      <c r="C4" s="57">
        <f>A4-B4</f>
        <v>110180</v>
      </c>
      <c r="D4" s="58"/>
      <c r="E4" s="54" t="s">
        <v>212</v>
      </c>
      <c r="F4" s="95" t="s">
        <v>695</v>
      </c>
      <c r="G4" s="59"/>
      <c r="H4" s="59"/>
      <c r="I4" s="59"/>
      <c r="J4" s="59"/>
    </row>
    <row r="5" spans="1:10" ht="13.8" thickBot="1">
      <c r="A5" s="54"/>
      <c r="B5" s="54"/>
      <c r="C5" s="54"/>
      <c r="D5" s="54"/>
      <c r="E5" s="54"/>
      <c r="F5" s="1"/>
    </row>
    <row r="6" spans="1:10" ht="25.5" customHeight="1" thickBot="1">
      <c r="A6" s="60" t="s">
        <v>214</v>
      </c>
      <c r="B6" s="61" t="s">
        <v>215</v>
      </c>
      <c r="C6" s="61" t="s">
        <v>216</v>
      </c>
      <c r="D6" s="61" t="s">
        <v>217</v>
      </c>
      <c r="E6" s="60" t="s">
        <v>144</v>
      </c>
      <c r="F6" s="60" t="s">
        <v>218</v>
      </c>
      <c r="G6" s="60" t="s">
        <v>219</v>
      </c>
      <c r="H6" s="53"/>
      <c r="I6" s="53"/>
      <c r="J6" s="53"/>
    </row>
    <row r="7" spans="1:10">
      <c r="A7" s="96" t="s">
        <v>221</v>
      </c>
      <c r="B7" s="97" t="s">
        <v>696</v>
      </c>
      <c r="C7" s="97"/>
      <c r="D7" s="97"/>
      <c r="E7" s="98"/>
      <c r="F7" s="294"/>
      <c r="G7" s="295"/>
      <c r="H7" s="54"/>
      <c r="I7" s="54"/>
      <c r="J7" s="54"/>
    </row>
    <row r="8" spans="1:10">
      <c r="A8" s="63" t="s">
        <v>223</v>
      </c>
      <c r="B8" s="64" t="s">
        <v>224</v>
      </c>
      <c r="C8" s="65">
        <v>80</v>
      </c>
      <c r="D8" s="66">
        <v>1500</v>
      </c>
      <c r="E8" s="67">
        <f>C8*D8</f>
        <v>120000</v>
      </c>
      <c r="F8" s="68"/>
      <c r="G8" s="69"/>
      <c r="H8" s="114"/>
      <c r="I8" s="114"/>
      <c r="J8" s="114"/>
    </row>
    <row r="9" spans="1:10" ht="26.4">
      <c r="A9" s="63" t="s">
        <v>225</v>
      </c>
      <c r="B9" s="64" t="s">
        <v>697</v>
      </c>
      <c r="C9" s="65"/>
      <c r="D9" s="66"/>
      <c r="E9" s="67">
        <v>12500</v>
      </c>
      <c r="F9" s="68"/>
      <c r="G9" s="69"/>
      <c r="H9" s="114"/>
      <c r="I9" s="114"/>
      <c r="J9" s="114"/>
    </row>
    <row r="10" spans="1:10">
      <c r="A10" s="149" t="s">
        <v>698</v>
      </c>
      <c r="B10" s="64" t="s">
        <v>699</v>
      </c>
      <c r="C10" s="65"/>
      <c r="D10" s="66"/>
      <c r="E10" s="67">
        <v>5000</v>
      </c>
      <c r="F10" s="68"/>
      <c r="G10" s="69"/>
      <c r="H10" s="114"/>
      <c r="I10" s="114"/>
      <c r="J10" s="114"/>
    </row>
    <row r="11" spans="1:10">
      <c r="A11" s="63" t="s">
        <v>227</v>
      </c>
      <c r="B11" s="64" t="s">
        <v>567</v>
      </c>
      <c r="C11" s="65"/>
      <c r="D11" s="66"/>
      <c r="E11" s="67">
        <v>12500</v>
      </c>
      <c r="F11" s="68"/>
      <c r="G11" s="69"/>
      <c r="H11" s="114"/>
      <c r="I11" s="114"/>
      <c r="J11" s="114"/>
    </row>
    <row r="12" spans="1:10">
      <c r="A12" s="63" t="s">
        <v>229</v>
      </c>
      <c r="B12" s="64" t="s">
        <v>230</v>
      </c>
      <c r="C12" s="65"/>
      <c r="D12" s="66"/>
      <c r="E12" s="67">
        <v>50000</v>
      </c>
      <c r="F12" s="68"/>
      <c r="G12" s="69"/>
      <c r="H12" s="114"/>
      <c r="I12" s="114"/>
      <c r="J12" s="114"/>
    </row>
    <row r="13" spans="1:10" ht="16.2" thickBot="1">
      <c r="A13" s="80" t="s">
        <v>231</v>
      </c>
      <c r="B13" s="82"/>
      <c r="C13" s="82"/>
      <c r="D13" s="83"/>
      <c r="E13" s="84">
        <f>SUM(E8:E12)</f>
        <v>200000</v>
      </c>
      <c r="F13" s="75">
        <v>0</v>
      </c>
      <c r="G13" s="75">
        <f>E13-F13</f>
        <v>200000</v>
      </c>
      <c r="H13" s="114"/>
      <c r="I13" s="114"/>
      <c r="J13" s="114"/>
    </row>
    <row r="14" spans="1:10" ht="13.8" thickTop="1">
      <c r="A14" s="62" t="s">
        <v>232</v>
      </c>
      <c r="B14" s="99" t="s">
        <v>700</v>
      </c>
      <c r="C14" s="99"/>
      <c r="D14" s="99"/>
      <c r="E14" s="62"/>
      <c r="F14" s="62"/>
      <c r="G14" s="62"/>
      <c r="H14" s="54"/>
      <c r="I14" s="54"/>
      <c r="J14" s="54"/>
    </row>
    <row r="15" spans="1:10">
      <c r="A15" s="63" t="s">
        <v>234</v>
      </c>
      <c r="B15" s="64" t="s">
        <v>701</v>
      </c>
      <c r="C15" s="65">
        <v>10</v>
      </c>
      <c r="D15" s="66">
        <v>600</v>
      </c>
      <c r="E15" s="67">
        <f>C15*D15</f>
        <v>6000</v>
      </c>
      <c r="F15" s="68"/>
      <c r="G15" s="69"/>
      <c r="H15" s="114"/>
      <c r="I15" s="114"/>
      <c r="J15" s="114"/>
    </row>
    <row r="16" spans="1:10">
      <c r="A16" s="63" t="s">
        <v>702</v>
      </c>
      <c r="B16" s="64" t="s">
        <v>703</v>
      </c>
      <c r="C16" s="65">
        <v>50</v>
      </c>
      <c r="D16" s="66">
        <v>250</v>
      </c>
      <c r="E16" s="67">
        <f>C16*D16</f>
        <v>12500</v>
      </c>
      <c r="F16" s="68"/>
      <c r="G16" s="69"/>
      <c r="H16" s="114"/>
      <c r="I16" s="114"/>
      <c r="J16" s="114"/>
    </row>
    <row r="17" spans="1:11">
      <c r="A17" s="63" t="s">
        <v>237</v>
      </c>
      <c r="B17" s="64"/>
      <c r="C17" s="65">
        <v>12</v>
      </c>
      <c r="D17" s="66">
        <v>180</v>
      </c>
      <c r="E17" s="67"/>
      <c r="F17" s="68">
        <f>C17*D17</f>
        <v>2160</v>
      </c>
      <c r="G17" s="69"/>
      <c r="H17" s="114"/>
      <c r="I17" s="114"/>
      <c r="J17" s="114"/>
    </row>
    <row r="18" spans="1:11">
      <c r="A18" s="70" t="s">
        <v>238</v>
      </c>
      <c r="B18" s="71"/>
      <c r="C18" s="72">
        <v>6</v>
      </c>
      <c r="D18" s="73">
        <v>100</v>
      </c>
      <c r="E18" s="67"/>
      <c r="F18" s="68">
        <f>C18*D18</f>
        <v>600</v>
      </c>
      <c r="G18" s="69"/>
      <c r="H18" s="114"/>
      <c r="I18" s="114"/>
      <c r="J18" s="114"/>
    </row>
    <row r="19" spans="1:11">
      <c r="A19" s="70" t="s">
        <v>239</v>
      </c>
      <c r="B19" s="71"/>
      <c r="C19" s="72">
        <v>24</v>
      </c>
      <c r="D19" s="73">
        <v>390</v>
      </c>
      <c r="E19" s="67"/>
      <c r="F19" s="68">
        <f>C19*D19</f>
        <v>9360</v>
      </c>
      <c r="G19" s="69"/>
      <c r="H19" s="114"/>
      <c r="I19" s="114"/>
      <c r="J19" s="114"/>
    </row>
    <row r="20" spans="1:11">
      <c r="A20" s="70" t="s">
        <v>240</v>
      </c>
      <c r="B20" s="71"/>
      <c r="C20" s="72">
        <v>6</v>
      </c>
      <c r="D20" s="73">
        <v>50</v>
      </c>
      <c r="E20" s="67"/>
      <c r="F20" s="68">
        <f>C20*D20</f>
        <v>300</v>
      </c>
      <c r="G20" s="69"/>
      <c r="H20" s="114"/>
      <c r="I20" s="114"/>
      <c r="J20" s="114"/>
    </row>
    <row r="21" spans="1:11">
      <c r="A21" s="296" t="s">
        <v>241</v>
      </c>
      <c r="B21" s="297"/>
      <c r="C21" s="298">
        <v>2</v>
      </c>
      <c r="D21" s="299">
        <v>690</v>
      </c>
      <c r="E21" s="67"/>
      <c r="F21" s="68">
        <f>C21*D21</f>
        <v>1380</v>
      </c>
      <c r="G21" s="69"/>
      <c r="H21" s="114"/>
      <c r="I21" s="114"/>
      <c r="J21" s="114"/>
      <c r="K21" t="s">
        <v>704</v>
      </c>
    </row>
    <row r="22" spans="1:11" ht="16.2" thickBot="1">
      <c r="A22" s="74" t="s">
        <v>243</v>
      </c>
      <c r="B22" s="100"/>
      <c r="C22" s="100"/>
      <c r="D22" s="101"/>
      <c r="E22" s="75">
        <f>SUM(E14:E21)</f>
        <v>18500</v>
      </c>
      <c r="F22" s="75">
        <f>SUM(F8:F21)</f>
        <v>13800</v>
      </c>
      <c r="G22" s="76">
        <f>E22-F22</f>
        <v>4700</v>
      </c>
      <c r="H22" s="115"/>
      <c r="I22" s="115"/>
      <c r="J22" s="115"/>
    </row>
    <row r="23" spans="1:11" ht="13.8" thickTop="1">
      <c r="A23" s="77" t="s">
        <v>244</v>
      </c>
      <c r="B23" s="78" t="s">
        <v>705</v>
      </c>
      <c r="C23" s="78"/>
      <c r="D23" s="78"/>
      <c r="E23" s="79"/>
      <c r="F23" s="294"/>
      <c r="G23" s="295"/>
      <c r="H23" s="54"/>
      <c r="I23" s="54"/>
      <c r="J23" s="54"/>
    </row>
    <row r="24" spans="1:11">
      <c r="A24" s="63" t="s">
        <v>246</v>
      </c>
      <c r="B24" s="64" t="s">
        <v>701</v>
      </c>
      <c r="C24" s="65">
        <f>2*6</f>
        <v>12</v>
      </c>
      <c r="D24" s="66">
        <v>750</v>
      </c>
      <c r="E24" s="67">
        <f>C24*D24</f>
        <v>9000</v>
      </c>
      <c r="F24" s="68"/>
      <c r="G24" s="69"/>
      <c r="H24" s="114"/>
      <c r="I24" s="114"/>
      <c r="J24" s="114"/>
    </row>
    <row r="25" spans="1:11">
      <c r="A25" s="63" t="s">
        <v>247</v>
      </c>
      <c r="B25" s="64"/>
      <c r="C25" s="65">
        <f>2*6</f>
        <v>12</v>
      </c>
      <c r="D25" s="66">
        <v>500</v>
      </c>
      <c r="E25" s="67">
        <f>C25*D25</f>
        <v>6000</v>
      </c>
      <c r="F25" s="68"/>
      <c r="G25" s="69"/>
      <c r="H25" s="114"/>
      <c r="I25" s="114"/>
      <c r="J25" s="114"/>
    </row>
    <row r="26" spans="1:11">
      <c r="A26" s="63" t="s">
        <v>638</v>
      </c>
      <c r="B26" s="64" t="s">
        <v>706</v>
      </c>
      <c r="C26" s="65">
        <v>1</v>
      </c>
      <c r="D26" s="66">
        <v>1000</v>
      </c>
      <c r="E26" s="67">
        <f>C26*D26</f>
        <v>1000</v>
      </c>
      <c r="F26" s="68"/>
      <c r="G26" s="69"/>
      <c r="H26" s="114"/>
      <c r="I26" s="114"/>
      <c r="J26" s="114"/>
    </row>
    <row r="27" spans="1:11">
      <c r="A27" s="63" t="s">
        <v>248</v>
      </c>
      <c r="B27" s="64" t="s">
        <v>249</v>
      </c>
      <c r="C27" s="65">
        <v>15</v>
      </c>
      <c r="D27" s="66">
        <v>200</v>
      </c>
      <c r="E27" s="67"/>
      <c r="F27" s="68">
        <f>C27*D27</f>
        <v>3000</v>
      </c>
      <c r="G27" s="69"/>
      <c r="H27" s="114"/>
      <c r="I27" s="114"/>
      <c r="J27" s="114"/>
    </row>
    <row r="28" spans="1:11">
      <c r="A28" s="70" t="s">
        <v>238</v>
      </c>
      <c r="B28" s="71"/>
      <c r="C28" s="72">
        <v>2</v>
      </c>
      <c r="D28" s="73">
        <v>390</v>
      </c>
      <c r="E28" s="67"/>
      <c r="F28" s="68">
        <f>C28*D28</f>
        <v>780</v>
      </c>
      <c r="G28" s="69"/>
      <c r="H28" s="114"/>
      <c r="I28" s="114"/>
      <c r="J28" s="114"/>
    </row>
    <row r="29" spans="1:11">
      <c r="A29" s="70" t="s">
        <v>239</v>
      </c>
      <c r="B29" s="71"/>
      <c r="C29" s="72">
        <v>36</v>
      </c>
      <c r="D29" s="73">
        <v>290</v>
      </c>
      <c r="E29" s="67"/>
      <c r="F29" s="68">
        <f>C29*D29</f>
        <v>10440</v>
      </c>
      <c r="G29" s="69"/>
      <c r="H29" s="114"/>
      <c r="I29" s="114"/>
      <c r="J29" s="114"/>
    </row>
    <row r="30" spans="1:11">
      <c r="A30" s="70" t="s">
        <v>240</v>
      </c>
      <c r="B30" s="71"/>
      <c r="C30" s="72">
        <v>7</v>
      </c>
      <c r="D30" s="73">
        <v>50</v>
      </c>
      <c r="E30" s="67"/>
      <c r="F30" s="68">
        <f>C30*D30</f>
        <v>350</v>
      </c>
      <c r="G30" s="69"/>
      <c r="H30" s="114"/>
      <c r="I30" s="114"/>
      <c r="J30" s="114"/>
    </row>
    <row r="31" spans="1:11">
      <c r="A31" s="296" t="s">
        <v>241</v>
      </c>
      <c r="B31" s="297"/>
      <c r="C31" s="298">
        <v>2</v>
      </c>
      <c r="D31" s="299">
        <v>690</v>
      </c>
      <c r="E31" s="67"/>
      <c r="F31" s="68">
        <f>C31*D31</f>
        <v>1380</v>
      </c>
      <c r="G31" s="69"/>
      <c r="H31" s="114"/>
      <c r="I31" s="114"/>
      <c r="J31" s="114"/>
      <c r="K31" t="s">
        <v>704</v>
      </c>
    </row>
    <row r="32" spans="1:11" ht="15.6">
      <c r="A32" s="74" t="s">
        <v>250</v>
      </c>
      <c r="B32" s="100"/>
      <c r="C32" s="100"/>
      <c r="D32" s="101"/>
      <c r="E32" s="75">
        <f>SUM(E24:E31)</f>
        <v>16000</v>
      </c>
      <c r="F32" s="75">
        <f>SUM(F24:F31)</f>
        <v>15950</v>
      </c>
      <c r="G32" s="76">
        <f>E32-F32</f>
        <v>50</v>
      </c>
      <c r="H32" s="115"/>
      <c r="I32" s="115"/>
      <c r="J32" s="115"/>
    </row>
    <row r="33" spans="1:10">
      <c r="A33" s="62" t="s">
        <v>251</v>
      </c>
      <c r="B33" s="99" t="s">
        <v>707</v>
      </c>
      <c r="C33" s="99"/>
      <c r="D33" s="99"/>
      <c r="E33" s="62"/>
      <c r="F33" s="62"/>
      <c r="G33" s="62"/>
      <c r="H33" s="54"/>
      <c r="I33" s="54"/>
      <c r="J33" s="54"/>
    </row>
    <row r="34" spans="1:10">
      <c r="A34" s="63" t="s">
        <v>234</v>
      </c>
      <c r="B34" s="64" t="s">
        <v>701</v>
      </c>
      <c r="C34" s="65">
        <v>10</v>
      </c>
      <c r="D34" s="66">
        <v>600</v>
      </c>
      <c r="E34" s="67">
        <f>C34*D34</f>
        <v>6000</v>
      </c>
      <c r="F34" s="68"/>
      <c r="G34" s="69"/>
      <c r="H34" s="114"/>
      <c r="I34" s="114"/>
      <c r="J34" s="114"/>
    </row>
    <row r="35" spans="1:10">
      <c r="A35" s="63" t="s">
        <v>702</v>
      </c>
      <c r="B35" s="64" t="s">
        <v>708</v>
      </c>
      <c r="C35" s="65">
        <v>100</v>
      </c>
      <c r="D35" s="66">
        <v>250</v>
      </c>
      <c r="E35" s="67">
        <f>C35*D35</f>
        <v>25000</v>
      </c>
      <c r="F35" s="68"/>
      <c r="G35" s="69"/>
      <c r="H35" s="114"/>
      <c r="I35" s="114"/>
      <c r="J35" s="114"/>
    </row>
    <row r="36" spans="1:10">
      <c r="A36" s="63" t="s">
        <v>638</v>
      </c>
      <c r="B36" s="64" t="s">
        <v>709</v>
      </c>
      <c r="C36" s="65">
        <v>5</v>
      </c>
      <c r="D36" s="66">
        <v>250</v>
      </c>
      <c r="E36" s="67">
        <f>C36*D36</f>
        <v>1250</v>
      </c>
      <c r="F36" s="68"/>
      <c r="G36" s="69"/>
      <c r="H36" s="114"/>
      <c r="I36" s="114"/>
      <c r="J36" s="114"/>
    </row>
    <row r="37" spans="1:10">
      <c r="A37" s="63" t="s">
        <v>253</v>
      </c>
      <c r="B37" s="64"/>
      <c r="C37" s="65">
        <v>25</v>
      </c>
      <c r="D37" s="66">
        <v>180</v>
      </c>
      <c r="E37" s="67"/>
      <c r="F37" s="68">
        <f t="shared" ref="F37:F42" si="0">C37*D37</f>
        <v>4500</v>
      </c>
      <c r="G37" s="69"/>
      <c r="H37" s="114"/>
      <c r="I37" s="114"/>
      <c r="J37" s="114"/>
    </row>
    <row r="38" spans="1:10">
      <c r="A38" s="70" t="s">
        <v>238</v>
      </c>
      <c r="B38" s="71"/>
      <c r="C38" s="72">
        <v>10</v>
      </c>
      <c r="D38" s="73">
        <v>100</v>
      </c>
      <c r="E38" s="67"/>
      <c r="F38" s="68">
        <f t="shared" si="0"/>
        <v>1000</v>
      </c>
      <c r="G38" s="69"/>
      <c r="H38" s="114"/>
      <c r="I38" s="114"/>
      <c r="J38" s="114"/>
    </row>
    <row r="39" spans="1:10">
      <c r="A39" s="70" t="s">
        <v>254</v>
      </c>
      <c r="B39" s="71"/>
      <c r="C39" s="72">
        <v>52</v>
      </c>
      <c r="D39" s="152">
        <v>290</v>
      </c>
      <c r="E39" s="67"/>
      <c r="F39" s="68">
        <f t="shared" si="0"/>
        <v>15080</v>
      </c>
      <c r="G39" s="69"/>
      <c r="H39" s="114"/>
      <c r="I39" s="114"/>
      <c r="J39" s="114"/>
    </row>
    <row r="40" spans="1:10">
      <c r="A40" s="70" t="s">
        <v>255</v>
      </c>
      <c r="B40" s="71" t="s">
        <v>256</v>
      </c>
      <c r="C40" s="72">
        <v>30</v>
      </c>
      <c r="D40" s="73">
        <v>160</v>
      </c>
      <c r="E40" s="67"/>
      <c r="F40" s="68">
        <f t="shared" si="0"/>
        <v>4800</v>
      </c>
      <c r="G40" s="69"/>
      <c r="H40" s="114"/>
      <c r="I40" s="114"/>
      <c r="J40" s="114"/>
    </row>
    <row r="41" spans="1:10">
      <c r="A41" s="70" t="s">
        <v>240</v>
      </c>
      <c r="B41" s="71" t="s">
        <v>257</v>
      </c>
      <c r="C41" s="72">
        <v>6</v>
      </c>
      <c r="D41" s="73">
        <v>50</v>
      </c>
      <c r="E41" s="67"/>
      <c r="F41" s="68">
        <f t="shared" si="0"/>
        <v>300</v>
      </c>
      <c r="G41" s="69"/>
      <c r="H41" s="114"/>
      <c r="I41" s="114"/>
      <c r="J41" s="114"/>
    </row>
    <row r="42" spans="1:10">
      <c r="A42" s="70" t="s">
        <v>264</v>
      </c>
      <c r="B42" s="71"/>
      <c r="C42" s="72">
        <v>10</v>
      </c>
      <c r="D42" s="73">
        <f>10*10</f>
        <v>100</v>
      </c>
      <c r="E42" s="67">
        <f>C42*D42</f>
        <v>1000</v>
      </c>
      <c r="F42" s="68">
        <f t="shared" si="0"/>
        <v>1000</v>
      </c>
      <c r="G42" s="69"/>
      <c r="H42" s="114"/>
      <c r="I42" s="114"/>
      <c r="J42" s="114"/>
    </row>
    <row r="43" spans="1:10" ht="16.2" thickBot="1">
      <c r="A43" s="74" t="s">
        <v>259</v>
      </c>
      <c r="B43" s="100"/>
      <c r="C43" s="100"/>
      <c r="D43" s="101"/>
      <c r="E43" s="75">
        <f>SUM(E33:E42)</f>
        <v>33250</v>
      </c>
      <c r="F43" s="75">
        <f>SUM(F33:F42)</f>
        <v>26680</v>
      </c>
      <c r="G43" s="76">
        <f>E43-F43</f>
        <v>6570</v>
      </c>
      <c r="H43" s="74" t="s">
        <v>265</v>
      </c>
      <c r="I43" s="116">
        <f>G43+G32+G22</f>
        <v>11320</v>
      </c>
      <c r="J43" s="115"/>
    </row>
    <row r="44" spans="1:10" ht="13.8" thickTop="1">
      <c r="A44" s="77" t="s">
        <v>260</v>
      </c>
      <c r="B44" s="78" t="s">
        <v>261</v>
      </c>
      <c r="C44" s="78"/>
      <c r="D44" s="78"/>
      <c r="E44" s="79"/>
      <c r="F44" s="294"/>
      <c r="G44" s="295"/>
      <c r="H44" s="54"/>
      <c r="I44" s="54"/>
      <c r="J44" s="54"/>
    </row>
    <row r="45" spans="1:10">
      <c r="A45" s="63" t="s">
        <v>262</v>
      </c>
      <c r="B45" s="64" t="s">
        <v>710</v>
      </c>
      <c r="C45" s="65">
        <v>200</v>
      </c>
      <c r="D45" s="66">
        <v>200</v>
      </c>
      <c r="E45" s="67"/>
      <c r="F45" s="68">
        <f>C45*D45</f>
        <v>40000</v>
      </c>
      <c r="G45" s="69"/>
      <c r="H45" s="114"/>
      <c r="I45" s="114"/>
      <c r="J45" s="114"/>
    </row>
    <row r="46" spans="1:10">
      <c r="A46" s="63"/>
      <c r="B46" s="64" t="s">
        <v>711</v>
      </c>
      <c r="C46" s="65">
        <v>0</v>
      </c>
      <c r="D46" s="66">
        <v>500</v>
      </c>
      <c r="E46" s="67"/>
      <c r="F46" s="68">
        <f>C46*D46</f>
        <v>0</v>
      </c>
      <c r="G46" s="69"/>
      <c r="H46" s="114"/>
      <c r="I46" s="114"/>
      <c r="J46" s="114"/>
    </row>
    <row r="47" spans="1:10">
      <c r="A47" s="63" t="s">
        <v>712</v>
      </c>
      <c r="B47" s="64"/>
      <c r="C47" s="65">
        <v>5</v>
      </c>
      <c r="D47" s="66">
        <v>500</v>
      </c>
      <c r="E47" s="67">
        <f>C47*D47</f>
        <v>2500</v>
      </c>
      <c r="F47" s="68"/>
      <c r="G47" s="69"/>
      <c r="H47" s="114"/>
      <c r="I47" s="114"/>
      <c r="J47" s="114"/>
    </row>
    <row r="48" spans="1:10">
      <c r="A48" s="63" t="s">
        <v>264</v>
      </c>
      <c r="B48" s="64"/>
      <c r="C48" s="65">
        <v>200</v>
      </c>
      <c r="D48" s="66">
        <v>10</v>
      </c>
      <c r="E48" s="67">
        <f>D48*C48</f>
        <v>2000</v>
      </c>
      <c r="F48" s="68"/>
      <c r="G48" s="69"/>
      <c r="H48" s="114"/>
      <c r="I48" s="114"/>
      <c r="J48" s="114"/>
    </row>
    <row r="49" spans="1:11">
      <c r="A49" s="63" t="s">
        <v>234</v>
      </c>
      <c r="B49" s="64" t="s">
        <v>713</v>
      </c>
      <c r="C49" s="153">
        <v>5</v>
      </c>
      <c r="D49" s="66">
        <v>1500</v>
      </c>
      <c r="E49" s="67">
        <f>C49*D49</f>
        <v>7500</v>
      </c>
      <c r="F49" s="68"/>
      <c r="G49" s="69"/>
      <c r="H49" s="114"/>
      <c r="I49" s="114"/>
      <c r="J49" s="114"/>
    </row>
    <row r="50" spans="1:11" ht="16.2" thickBot="1">
      <c r="A50" s="74" t="s">
        <v>266</v>
      </c>
      <c r="B50" s="100"/>
      <c r="C50" s="100"/>
      <c r="D50" s="101"/>
      <c r="E50" s="75">
        <f>SUM(E45:E49)</f>
        <v>12000</v>
      </c>
      <c r="F50" s="75">
        <f>SUM(F45:F49)</f>
        <v>40000</v>
      </c>
      <c r="G50" s="76">
        <f>E50-F50</f>
        <v>-28000</v>
      </c>
      <c r="H50" s="114"/>
      <c r="I50" s="114"/>
      <c r="J50" s="114"/>
    </row>
    <row r="51" spans="1:11" ht="13.8" thickTop="1">
      <c r="A51" s="77" t="s">
        <v>568</v>
      </c>
      <c r="B51" s="78" t="s">
        <v>714</v>
      </c>
      <c r="C51" s="78"/>
      <c r="D51" s="78"/>
      <c r="E51" s="79"/>
      <c r="F51" s="294"/>
      <c r="G51" s="295"/>
      <c r="H51" s="114"/>
      <c r="I51" s="114"/>
      <c r="J51" s="114"/>
    </row>
    <row r="52" spans="1:11" ht="26.4">
      <c r="A52" s="63" t="s">
        <v>268</v>
      </c>
      <c r="B52" s="64" t="s">
        <v>715</v>
      </c>
      <c r="C52" s="65"/>
      <c r="D52" s="66"/>
      <c r="E52" s="67">
        <v>20000</v>
      </c>
      <c r="F52" s="68"/>
      <c r="G52" s="69"/>
      <c r="H52" s="114"/>
      <c r="I52" s="114"/>
      <c r="J52" s="114"/>
    </row>
    <row r="53" spans="1:11">
      <c r="A53" s="63" t="s">
        <v>270</v>
      </c>
      <c r="B53" s="64" t="s">
        <v>570</v>
      </c>
      <c r="C53" s="65">
        <v>15</v>
      </c>
      <c r="D53" s="66">
        <v>200</v>
      </c>
      <c r="E53" s="67">
        <f>C53*D53</f>
        <v>3000</v>
      </c>
      <c r="F53" s="68"/>
      <c r="G53" s="69"/>
      <c r="H53" s="114"/>
      <c r="I53" s="114"/>
      <c r="J53" s="114"/>
    </row>
    <row r="54" spans="1:11" ht="17.399999999999999">
      <c r="A54" s="63" t="s">
        <v>571</v>
      </c>
      <c r="B54" s="64"/>
      <c r="C54" s="65"/>
      <c r="D54" s="66"/>
      <c r="E54" s="67">
        <v>1000</v>
      </c>
      <c r="F54" s="68"/>
      <c r="G54" s="69"/>
      <c r="H54" s="114"/>
      <c r="I54" s="114"/>
      <c r="J54" s="114"/>
      <c r="K54" s="351" t="s">
        <v>479</v>
      </c>
    </row>
    <row r="55" spans="1:11">
      <c r="A55" s="63" t="s">
        <v>156</v>
      </c>
      <c r="B55" s="64" t="s">
        <v>716</v>
      </c>
      <c r="C55" s="65">
        <v>15</v>
      </c>
      <c r="D55" s="66">
        <v>1500</v>
      </c>
      <c r="E55" s="67">
        <f>C55*D55</f>
        <v>22500</v>
      </c>
      <c r="F55" s="68"/>
      <c r="G55" s="69"/>
      <c r="H55" s="114"/>
      <c r="I55" s="114"/>
      <c r="J55" s="114"/>
      <c r="K55" s="22"/>
    </row>
    <row r="56" spans="1:11" ht="18" thickBot="1">
      <c r="A56" s="80" t="s">
        <v>572</v>
      </c>
      <c r="B56" s="81"/>
      <c r="C56" s="82"/>
      <c r="D56" s="83"/>
      <c r="E56" s="84">
        <f>SUM(E52:E55)</f>
        <v>46500</v>
      </c>
      <c r="F56" s="84"/>
      <c r="G56" s="84">
        <f>E56-F56</f>
        <v>46500</v>
      </c>
      <c r="H56" s="54"/>
      <c r="I56" s="54"/>
      <c r="J56" s="54"/>
      <c r="K56" s="21" t="s">
        <v>479</v>
      </c>
    </row>
    <row r="57" spans="1:11" ht="27" thickTop="1">
      <c r="A57" s="62" t="s">
        <v>717</v>
      </c>
      <c r="B57" s="99" t="s">
        <v>718</v>
      </c>
      <c r="C57" s="99"/>
      <c r="D57" s="99"/>
      <c r="E57" s="85"/>
      <c r="F57" s="85"/>
      <c r="G57" s="62"/>
      <c r="H57" s="114"/>
      <c r="I57" s="114"/>
      <c r="J57" s="114"/>
    </row>
    <row r="58" spans="1:11">
      <c r="A58" s="63"/>
      <c r="B58" s="64"/>
      <c r="C58" s="65"/>
      <c r="D58" s="66"/>
      <c r="E58" s="67"/>
      <c r="F58" s="68"/>
      <c r="G58" s="69"/>
      <c r="H58" s="114"/>
      <c r="I58" s="114"/>
      <c r="J58" s="114"/>
    </row>
    <row r="59" spans="1:11">
      <c r="A59" s="63"/>
      <c r="B59" s="64"/>
      <c r="C59" s="65"/>
      <c r="D59" s="66"/>
      <c r="E59" s="67"/>
      <c r="F59" s="68"/>
      <c r="G59" s="69"/>
      <c r="H59" s="114"/>
      <c r="I59" s="114"/>
      <c r="J59" s="114"/>
    </row>
    <row r="60" spans="1:11" ht="15.6">
      <c r="A60" s="74" t="s">
        <v>719</v>
      </c>
      <c r="B60" s="100"/>
      <c r="C60" s="100"/>
      <c r="D60" s="101"/>
      <c r="E60" s="86">
        <v>0</v>
      </c>
      <c r="F60" s="352">
        <v>0</v>
      </c>
      <c r="G60" s="353">
        <v>0</v>
      </c>
      <c r="H60" s="114"/>
      <c r="I60" s="114"/>
      <c r="J60" s="114"/>
    </row>
    <row r="61" spans="1:11">
      <c r="A61" s="62" t="s">
        <v>280</v>
      </c>
      <c r="B61" s="99" t="s">
        <v>281</v>
      </c>
      <c r="C61" s="99"/>
      <c r="D61" s="99"/>
      <c r="E61" s="87"/>
      <c r="F61" s="88"/>
      <c r="G61" s="69"/>
      <c r="H61" s="114"/>
      <c r="I61" s="114"/>
      <c r="J61" s="114"/>
    </row>
    <row r="62" spans="1:11">
      <c r="A62" s="63" t="s">
        <v>283</v>
      </c>
      <c r="B62" s="64"/>
      <c r="C62" s="65"/>
      <c r="D62" s="66"/>
      <c r="E62" s="67">
        <v>20000</v>
      </c>
      <c r="F62" s="68"/>
      <c r="G62" s="69"/>
      <c r="H62" s="114"/>
      <c r="I62" s="114"/>
      <c r="J62" s="114"/>
    </row>
    <row r="63" spans="1:11">
      <c r="A63" s="63" t="s">
        <v>585</v>
      </c>
      <c r="B63" s="64"/>
      <c r="C63" s="65"/>
      <c r="D63" s="66"/>
      <c r="E63" s="67">
        <v>5000</v>
      </c>
      <c r="F63" s="68"/>
      <c r="G63" s="69"/>
      <c r="H63" s="114"/>
      <c r="I63" s="114"/>
      <c r="J63" s="114"/>
    </row>
    <row r="64" spans="1:11">
      <c r="A64" s="63" t="s">
        <v>720</v>
      </c>
      <c r="B64" s="64"/>
      <c r="C64" s="65"/>
      <c r="D64" s="66"/>
      <c r="E64" s="67"/>
      <c r="F64" s="68"/>
      <c r="G64" s="69"/>
      <c r="H64" s="114"/>
      <c r="I64" s="114"/>
      <c r="J64" s="114"/>
    </row>
    <row r="65" spans="1:11" ht="27" thickBot="1">
      <c r="A65" s="80" t="s">
        <v>586</v>
      </c>
      <c r="B65" s="82"/>
      <c r="C65" s="82"/>
      <c r="D65" s="83"/>
      <c r="E65" s="84">
        <f>SUM(E62:E64)</f>
        <v>25000</v>
      </c>
      <c r="F65" s="75"/>
      <c r="G65" s="75">
        <f>E65-F65</f>
        <v>25000</v>
      </c>
      <c r="H65" s="54"/>
      <c r="I65" s="54"/>
      <c r="J65" s="54"/>
      <c r="K65" s="23" t="s">
        <v>721</v>
      </c>
    </row>
    <row r="66" spans="1:11" ht="13.8" thickTop="1">
      <c r="A66" s="62" t="s">
        <v>722</v>
      </c>
      <c r="B66" s="99" t="s">
        <v>723</v>
      </c>
      <c r="C66" s="99"/>
      <c r="D66" s="99"/>
      <c r="E66" s="85"/>
      <c r="F66" s="85"/>
      <c r="G66" s="62"/>
      <c r="H66" s="114"/>
      <c r="I66" s="114"/>
      <c r="J66" s="114"/>
      <c r="K66" t="s">
        <v>724</v>
      </c>
    </row>
    <row r="67" spans="1:11" ht="26.4">
      <c r="A67" s="63" t="s">
        <v>725</v>
      </c>
      <c r="B67" s="64" t="s">
        <v>726</v>
      </c>
      <c r="C67" s="65">
        <v>6</v>
      </c>
      <c r="D67" s="154">
        <v>1500</v>
      </c>
      <c r="E67" s="67">
        <f>C67*D67</f>
        <v>9000</v>
      </c>
      <c r="F67" s="68"/>
      <c r="G67" s="69"/>
      <c r="H67" s="114"/>
      <c r="I67" s="114"/>
      <c r="J67" s="114"/>
      <c r="K67" t="s">
        <v>727</v>
      </c>
    </row>
    <row r="68" spans="1:11">
      <c r="A68" s="63" t="s">
        <v>728</v>
      </c>
      <c r="B68" s="64"/>
      <c r="C68" s="65">
        <v>6</v>
      </c>
      <c r="D68" s="66">
        <v>1500</v>
      </c>
      <c r="E68" s="67">
        <f t="shared" ref="E68" si="1">C68*D68</f>
        <v>9000</v>
      </c>
      <c r="F68" s="68"/>
      <c r="G68" s="69"/>
      <c r="H68" s="114"/>
      <c r="I68" s="114"/>
      <c r="J68" s="114"/>
    </row>
    <row r="69" spans="1:11" ht="16.2" thickBot="1">
      <c r="A69" s="80" t="s">
        <v>729</v>
      </c>
      <c r="B69" s="82"/>
      <c r="C69" s="82"/>
      <c r="D69" s="83"/>
      <c r="E69" s="84">
        <f>SUM(E67:E68)</f>
        <v>18000</v>
      </c>
      <c r="F69" s="84"/>
      <c r="G69" s="84">
        <f>E69-F69</f>
        <v>18000</v>
      </c>
      <c r="H69" s="54"/>
      <c r="I69" s="54"/>
      <c r="J69" s="54"/>
    </row>
    <row r="70" spans="1:11" ht="13.8" thickTop="1">
      <c r="A70" s="62" t="s">
        <v>90</v>
      </c>
      <c r="B70" s="99" t="s">
        <v>730</v>
      </c>
      <c r="C70" s="99"/>
      <c r="D70" s="99"/>
      <c r="E70" s="62"/>
      <c r="F70" s="62"/>
      <c r="G70" s="62"/>
      <c r="H70" s="114"/>
      <c r="I70" s="114"/>
      <c r="J70" s="114"/>
    </row>
    <row r="71" spans="1:11">
      <c r="A71" s="63" t="s">
        <v>731</v>
      </c>
      <c r="B71" s="64" t="s">
        <v>732</v>
      </c>
      <c r="C71" s="65">
        <v>3</v>
      </c>
      <c r="D71" s="66">
        <v>2500</v>
      </c>
      <c r="E71" s="67">
        <f>C71*D71</f>
        <v>7500</v>
      </c>
      <c r="F71" s="68"/>
      <c r="G71" s="69"/>
      <c r="H71" s="114"/>
      <c r="I71" s="114"/>
      <c r="J71" s="114"/>
    </row>
    <row r="72" spans="1:11">
      <c r="A72" s="63" t="s">
        <v>733</v>
      </c>
      <c r="B72" s="64" t="s">
        <v>734</v>
      </c>
      <c r="C72" s="65">
        <v>3</v>
      </c>
      <c r="D72" s="66">
        <v>1400</v>
      </c>
      <c r="E72" s="67">
        <f>C72*D72</f>
        <v>4200</v>
      </c>
      <c r="F72" s="68"/>
      <c r="G72" s="69"/>
      <c r="H72" s="114"/>
      <c r="I72" s="114"/>
      <c r="J72" s="114"/>
    </row>
    <row r="73" spans="1:11">
      <c r="A73" s="63" t="s">
        <v>735</v>
      </c>
      <c r="B73" s="64" t="s">
        <v>736</v>
      </c>
      <c r="C73" s="65">
        <v>30</v>
      </c>
      <c r="D73" s="66">
        <v>400</v>
      </c>
      <c r="E73" s="67">
        <v>6000</v>
      </c>
      <c r="F73" s="68"/>
      <c r="G73" s="69"/>
      <c r="H73" s="114"/>
      <c r="I73" s="114"/>
      <c r="J73" s="114"/>
    </row>
    <row r="74" spans="1:11">
      <c r="A74" s="63" t="s">
        <v>737</v>
      </c>
      <c r="B74" s="64" t="s">
        <v>738</v>
      </c>
      <c r="C74" s="65">
        <v>30</v>
      </c>
      <c r="D74" s="66">
        <v>200</v>
      </c>
      <c r="E74" s="67">
        <f>C74*D74</f>
        <v>6000</v>
      </c>
      <c r="F74" s="68"/>
      <c r="G74" s="69"/>
      <c r="H74" s="114"/>
      <c r="I74" s="114"/>
      <c r="J74" s="114"/>
    </row>
    <row r="75" spans="1:11">
      <c r="A75" s="63" t="s">
        <v>316</v>
      </c>
      <c r="B75" s="64" t="s">
        <v>317</v>
      </c>
      <c r="C75" s="65">
        <v>10</v>
      </c>
      <c r="D75" s="66">
        <v>2000</v>
      </c>
      <c r="E75" s="67">
        <f>C75*D75</f>
        <v>20000</v>
      </c>
      <c r="F75" s="68"/>
      <c r="G75" s="69"/>
      <c r="H75" s="114"/>
      <c r="I75" s="114"/>
      <c r="J75" s="114"/>
    </row>
    <row r="76" spans="1:11" ht="15.6">
      <c r="A76" s="63" t="s">
        <v>254</v>
      </c>
      <c r="B76" s="64" t="s">
        <v>739</v>
      </c>
      <c r="C76" s="65">
        <v>30</v>
      </c>
      <c r="D76" s="154">
        <v>590</v>
      </c>
      <c r="E76" s="67"/>
      <c r="F76" s="68">
        <f>C76*D76</f>
        <v>17700</v>
      </c>
      <c r="G76" s="69"/>
      <c r="H76" s="115"/>
      <c r="I76" s="115"/>
      <c r="J76" s="115"/>
    </row>
    <row r="77" spans="1:11" ht="16.2" thickBot="1">
      <c r="A77" s="80" t="s">
        <v>740</v>
      </c>
      <c r="B77" s="82"/>
      <c r="C77" s="82"/>
      <c r="D77" s="83"/>
      <c r="E77" s="84">
        <f>SUM(E71:E76)</f>
        <v>43700</v>
      </c>
      <c r="F77" s="75">
        <f>SUM(F71:F76)</f>
        <v>17700</v>
      </c>
      <c r="G77" s="75">
        <f>E77-F77</f>
        <v>26000</v>
      </c>
      <c r="H77" s="54"/>
      <c r="I77" s="54"/>
      <c r="J77" s="54"/>
    </row>
    <row r="78" spans="1:11" s="44" customFormat="1" ht="16.2" thickTop="1">
      <c r="A78" s="62" t="s">
        <v>91</v>
      </c>
      <c r="B78" s="99" t="s">
        <v>741</v>
      </c>
      <c r="C78" s="99"/>
      <c r="D78" s="99"/>
      <c r="E78" s="99"/>
      <c r="F78" s="99"/>
      <c r="G78" s="99"/>
      <c r="H78" s="114"/>
      <c r="I78" s="114"/>
      <c r="J78" s="114"/>
    </row>
    <row r="79" spans="1:11" s="44" customFormat="1" ht="15.6">
      <c r="A79" s="63" t="s">
        <v>742</v>
      </c>
      <c r="B79" s="64"/>
      <c r="C79" s="153">
        <v>4</v>
      </c>
      <c r="D79" s="66">
        <v>1500</v>
      </c>
      <c r="E79" s="67">
        <f>C79*D79</f>
        <v>6000</v>
      </c>
      <c r="F79" s="68"/>
      <c r="G79" s="69"/>
      <c r="H79" s="114"/>
      <c r="I79" s="114"/>
      <c r="J79" s="114"/>
    </row>
    <row r="80" spans="1:11">
      <c r="A80" s="63" t="s">
        <v>743</v>
      </c>
      <c r="B80" s="64" t="s">
        <v>744</v>
      </c>
      <c r="C80" s="65"/>
      <c r="D80" s="66"/>
      <c r="E80" s="67">
        <v>15000</v>
      </c>
      <c r="F80" s="68"/>
      <c r="G80" s="69"/>
      <c r="H80" s="114"/>
      <c r="I80" s="114"/>
      <c r="J80" s="114"/>
    </row>
    <row r="81" spans="1:11" ht="27">
      <c r="A81" s="63" t="s">
        <v>745</v>
      </c>
      <c r="B81" s="64" t="s">
        <v>746</v>
      </c>
      <c r="C81" s="153">
        <v>0</v>
      </c>
      <c r="D81" s="66">
        <v>10000</v>
      </c>
      <c r="E81" s="67">
        <f>C81*D81</f>
        <v>0</v>
      </c>
      <c r="F81" s="68"/>
      <c r="G81" s="69"/>
      <c r="H81" s="114"/>
      <c r="I81" s="114"/>
      <c r="J81" s="114"/>
      <c r="K81" s="21" t="s">
        <v>479</v>
      </c>
    </row>
    <row r="82" spans="1:11" ht="17.399999999999999">
      <c r="A82" s="63" t="s">
        <v>747</v>
      </c>
      <c r="B82" s="64" t="s">
        <v>748</v>
      </c>
      <c r="C82" s="65">
        <v>2</v>
      </c>
      <c r="D82" s="66">
        <v>2500</v>
      </c>
      <c r="E82" s="67">
        <f>C82*D82</f>
        <v>5000</v>
      </c>
      <c r="F82" s="68"/>
      <c r="G82" s="69"/>
      <c r="H82" s="114"/>
      <c r="I82" s="114"/>
      <c r="J82" s="114"/>
      <c r="K82" s="21"/>
    </row>
    <row r="83" spans="1:11" ht="26.4">
      <c r="A83" s="63" t="s">
        <v>749</v>
      </c>
      <c r="B83" s="64" t="s">
        <v>750</v>
      </c>
      <c r="C83" s="153">
        <v>0</v>
      </c>
      <c r="D83" s="66">
        <v>10000</v>
      </c>
      <c r="E83" s="67">
        <f>C83*D83</f>
        <v>0</v>
      </c>
      <c r="F83" s="68"/>
      <c r="G83" s="69"/>
      <c r="H83" s="114"/>
      <c r="I83" s="114"/>
      <c r="J83" s="114"/>
    </row>
    <row r="84" spans="1:11">
      <c r="A84" s="63" t="s">
        <v>751</v>
      </c>
      <c r="B84" s="64" t="s">
        <v>752</v>
      </c>
      <c r="C84" s="153">
        <v>5</v>
      </c>
      <c r="D84" s="66">
        <v>1000</v>
      </c>
      <c r="E84" s="67">
        <f>C84*D84</f>
        <v>5000</v>
      </c>
      <c r="F84" s="68"/>
      <c r="G84" s="69"/>
      <c r="H84" s="114"/>
      <c r="I84" s="114"/>
      <c r="J84" s="114"/>
    </row>
    <row r="85" spans="1:11" ht="16.2" thickBot="1">
      <c r="A85" s="80" t="s">
        <v>753</v>
      </c>
      <c r="B85" s="82"/>
      <c r="C85" s="82"/>
      <c r="D85" s="83"/>
      <c r="E85" s="84">
        <f>SUM(E79:E84)</f>
        <v>31000</v>
      </c>
      <c r="F85" s="75">
        <v>0</v>
      </c>
      <c r="G85" s="75">
        <f>E85-F85</f>
        <v>31000</v>
      </c>
      <c r="H85" s="54"/>
      <c r="I85" s="54"/>
      <c r="J85" s="54"/>
    </row>
    <row r="86" spans="1:11" ht="13.8" thickTop="1">
      <c r="A86" s="62" t="s">
        <v>754</v>
      </c>
      <c r="B86" s="99" t="s">
        <v>755</v>
      </c>
      <c r="C86" s="99"/>
      <c r="D86" s="99"/>
      <c r="E86" s="62"/>
      <c r="F86" s="62"/>
      <c r="G86" s="62"/>
      <c r="H86" s="114"/>
      <c r="I86" s="114"/>
      <c r="J86" s="114"/>
    </row>
    <row r="87" spans="1:11">
      <c r="A87" s="63" t="s">
        <v>756</v>
      </c>
      <c r="B87" s="64" t="s">
        <v>757</v>
      </c>
      <c r="C87" s="65">
        <v>3</v>
      </c>
      <c r="D87" s="66">
        <v>30000</v>
      </c>
      <c r="E87" s="67">
        <f>C87*D87</f>
        <v>90000</v>
      </c>
      <c r="F87" s="68"/>
      <c r="G87" s="69"/>
      <c r="H87" s="114"/>
      <c r="I87" s="114"/>
      <c r="J87" s="114"/>
    </row>
    <row r="88" spans="1:11" ht="26.4">
      <c r="A88" s="63"/>
      <c r="B88" s="64" t="s">
        <v>758</v>
      </c>
      <c r="C88" s="65">
        <v>2</v>
      </c>
      <c r="D88" s="66">
        <v>10000</v>
      </c>
      <c r="E88" s="67">
        <f>C88*D88</f>
        <v>20000</v>
      </c>
      <c r="F88" s="68"/>
      <c r="G88" s="69"/>
      <c r="H88" s="114"/>
      <c r="I88" s="114"/>
      <c r="J88" s="114"/>
    </row>
    <row r="89" spans="1:11" ht="19.5" customHeight="1">
      <c r="A89" s="63"/>
      <c r="B89" s="64" t="s">
        <v>759</v>
      </c>
      <c r="C89" s="65">
        <v>8</v>
      </c>
      <c r="D89" s="66">
        <v>2500</v>
      </c>
      <c r="E89" s="67">
        <f>C89*D89</f>
        <v>20000</v>
      </c>
      <c r="F89" s="68"/>
      <c r="G89" s="69"/>
      <c r="H89" s="114"/>
      <c r="I89" s="114"/>
      <c r="J89" s="114"/>
    </row>
    <row r="90" spans="1:11" ht="15.6">
      <c r="A90" s="63" t="s">
        <v>760</v>
      </c>
      <c r="B90" s="64" t="s">
        <v>761</v>
      </c>
      <c r="C90" s="65">
        <v>200</v>
      </c>
      <c r="D90" s="66">
        <v>150</v>
      </c>
      <c r="E90" s="67">
        <f>C90*D90</f>
        <v>30000</v>
      </c>
      <c r="F90" s="68"/>
      <c r="G90" s="69"/>
      <c r="H90" s="115"/>
      <c r="I90" s="115"/>
      <c r="J90" s="115"/>
    </row>
    <row r="91" spans="1:11" ht="17.399999999999999">
      <c r="A91" s="74" t="s">
        <v>762</v>
      </c>
      <c r="B91" s="100"/>
      <c r="C91" s="100"/>
      <c r="D91" s="101"/>
      <c r="E91" s="75">
        <f>SUM(E87:E90)</f>
        <v>160000</v>
      </c>
      <c r="F91" s="75"/>
      <c r="G91" s="75">
        <f>E91-F91</f>
        <v>160000</v>
      </c>
      <c r="H91" s="54"/>
      <c r="I91" s="54"/>
      <c r="J91" s="54"/>
      <c r="K91" s="21" t="s">
        <v>479</v>
      </c>
    </row>
    <row r="92" spans="1:11">
      <c r="A92" s="62" t="s">
        <v>763</v>
      </c>
      <c r="B92" s="99"/>
      <c r="C92" s="99"/>
      <c r="D92" s="99"/>
      <c r="E92" s="62"/>
      <c r="F92" s="62"/>
      <c r="G92" s="62"/>
      <c r="H92" s="114"/>
      <c r="I92" s="114"/>
      <c r="J92" s="114"/>
    </row>
    <row r="93" spans="1:11">
      <c r="A93" s="63" t="s">
        <v>764</v>
      </c>
      <c r="B93" s="64" t="s">
        <v>765</v>
      </c>
      <c r="C93" s="153">
        <v>0</v>
      </c>
      <c r="D93" s="66">
        <v>5000</v>
      </c>
      <c r="E93" s="89">
        <f>C93*D93</f>
        <v>0</v>
      </c>
      <c r="F93" s="90"/>
      <c r="G93" s="69"/>
      <c r="H93" s="114"/>
      <c r="I93" s="114"/>
      <c r="J93" s="114"/>
    </row>
    <row r="94" spans="1:11">
      <c r="A94" s="63" t="s">
        <v>766</v>
      </c>
      <c r="B94" s="64" t="s">
        <v>767</v>
      </c>
      <c r="C94" s="65">
        <v>5</v>
      </c>
      <c r="D94" s="66">
        <v>4000</v>
      </c>
      <c r="E94" s="89">
        <v>8000</v>
      </c>
      <c r="F94" s="90"/>
      <c r="G94" s="69"/>
      <c r="H94" s="114"/>
      <c r="I94" s="114"/>
      <c r="J94" s="114"/>
    </row>
    <row r="95" spans="1:11">
      <c r="A95" s="63" t="s">
        <v>768</v>
      </c>
      <c r="B95" s="64" t="s">
        <v>769</v>
      </c>
      <c r="C95" s="65"/>
      <c r="D95" s="66"/>
      <c r="E95" s="89">
        <v>20000</v>
      </c>
      <c r="F95" s="90"/>
      <c r="G95" s="69"/>
      <c r="H95" s="114"/>
      <c r="I95" s="114"/>
      <c r="J95" s="114"/>
    </row>
    <row r="96" spans="1:11" ht="16.2" thickBot="1">
      <c r="A96" s="91" t="s">
        <v>770</v>
      </c>
      <c r="B96" s="92"/>
      <c r="C96" s="92"/>
      <c r="D96" s="93"/>
      <c r="E96" s="94">
        <f>SUM(E93:E95)</f>
        <v>28000</v>
      </c>
      <c r="F96" s="94">
        <v>0</v>
      </c>
      <c r="G96" s="94">
        <f>E96-F96</f>
        <v>28000</v>
      </c>
    </row>
    <row r="97" spans="1:10">
      <c r="A97" s="62" t="s">
        <v>771</v>
      </c>
      <c r="B97" s="99"/>
      <c r="C97" s="99"/>
      <c r="D97" s="99"/>
      <c r="E97" s="62"/>
      <c r="F97" s="62"/>
      <c r="G97" s="62"/>
      <c r="H97" s="114"/>
      <c r="I97" s="114"/>
      <c r="J97" s="114"/>
    </row>
    <row r="98" spans="1:10">
      <c r="A98" s="63" t="s">
        <v>156</v>
      </c>
      <c r="B98" s="64" t="s">
        <v>772</v>
      </c>
      <c r="C98" s="65">
        <v>6</v>
      </c>
      <c r="D98" s="66">
        <v>5000</v>
      </c>
      <c r="E98" s="89">
        <f>C98*D98</f>
        <v>30000</v>
      </c>
      <c r="F98" s="90"/>
      <c r="G98" s="69"/>
      <c r="H98" s="114"/>
      <c r="I98" s="114"/>
      <c r="J98" s="114"/>
    </row>
    <row r="99" spans="1:10">
      <c r="A99" s="63" t="s">
        <v>773</v>
      </c>
      <c r="B99" s="64" t="s">
        <v>774</v>
      </c>
      <c r="C99" s="65">
        <v>6</v>
      </c>
      <c r="D99" s="66">
        <v>5000</v>
      </c>
      <c r="E99" s="89">
        <f>C99*D99</f>
        <v>30000</v>
      </c>
      <c r="F99" s="90"/>
      <c r="G99" s="69"/>
      <c r="H99" s="114"/>
      <c r="I99" s="114"/>
      <c r="J99" s="114"/>
    </row>
    <row r="100" spans="1:10">
      <c r="A100" s="63" t="s">
        <v>775</v>
      </c>
      <c r="B100" s="64" t="s">
        <v>776</v>
      </c>
      <c r="C100" s="65">
        <v>6</v>
      </c>
      <c r="D100" s="66">
        <v>2000</v>
      </c>
      <c r="E100" s="89">
        <f>C100*D100</f>
        <v>12000</v>
      </c>
      <c r="F100" s="90"/>
      <c r="G100" s="69"/>
      <c r="H100" s="114"/>
      <c r="I100" s="114"/>
      <c r="J100" s="114"/>
    </row>
    <row r="101" spans="1:10" ht="31.8" thickBot="1">
      <c r="A101" s="91" t="s">
        <v>777</v>
      </c>
      <c r="B101" s="92"/>
      <c r="C101" s="92"/>
      <c r="D101" s="93"/>
      <c r="E101" s="94">
        <f>SUM(E98:E100)</f>
        <v>72000</v>
      </c>
      <c r="F101" s="94">
        <v>0</v>
      </c>
      <c r="G101" s="94">
        <f>E101-F101</f>
        <v>72000</v>
      </c>
    </row>
  </sheetData>
  <hyperlinks>
    <hyperlink ref="A10" r:id="rId1" xr:uid="{636B712A-C5C5-404A-A44B-601A7B83962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47"/>
  <sheetViews>
    <sheetView topLeftCell="A15" workbookViewId="0">
      <selection activeCell="B30" sqref="B30"/>
    </sheetView>
  </sheetViews>
  <sheetFormatPr baseColWidth="10" defaultColWidth="11.44140625" defaultRowHeight="13.2"/>
  <cols>
    <col min="1" max="1" width="19.33203125" bestFit="1" customWidth="1"/>
    <col min="2" max="2" width="13.5546875" style="234" bestFit="1" customWidth="1"/>
    <col min="6" max="6" width="19.6640625" bestFit="1" customWidth="1"/>
    <col min="7" max="7" width="11.6640625" style="4" bestFit="1" customWidth="1"/>
    <col min="8" max="8" width="4.5546875" customWidth="1"/>
    <col min="9" max="9" width="30.33203125" customWidth="1"/>
    <col min="10" max="10" width="11.6640625" bestFit="1" customWidth="1"/>
    <col min="11" max="11" width="11.88671875" bestFit="1" customWidth="1"/>
  </cols>
  <sheetData>
    <row r="1" spans="1:14" ht="14.4">
      <c r="A1" s="3" t="s">
        <v>111</v>
      </c>
      <c r="F1" s="3" t="s">
        <v>112</v>
      </c>
      <c r="J1" s="157" t="s">
        <v>113</v>
      </c>
      <c r="K1" s="158"/>
      <c r="L1" s="159"/>
      <c r="M1" s="159"/>
      <c r="N1" s="159"/>
    </row>
    <row r="2" spans="1:14">
      <c r="A2" t="s">
        <v>114</v>
      </c>
      <c r="B2" s="234">
        <v>96000</v>
      </c>
      <c r="C2" s="156" t="s">
        <v>115</v>
      </c>
      <c r="F2" t="s">
        <v>114</v>
      </c>
      <c r="G2" s="4">
        <f>1000*12*4*2</f>
        <v>96000</v>
      </c>
      <c r="I2" s="156" t="s">
        <v>115</v>
      </c>
      <c r="J2" s="159" t="s">
        <v>114</v>
      </c>
      <c r="K2" s="158">
        <f>800*4*2*12</f>
        <v>76800</v>
      </c>
      <c r="L2" s="159"/>
      <c r="M2" s="159" t="s">
        <v>116</v>
      </c>
      <c r="N2" s="159"/>
    </row>
    <row r="3" spans="1:14">
      <c r="A3" s="5" t="s">
        <v>117</v>
      </c>
      <c r="B3" s="234">
        <v>25000</v>
      </c>
      <c r="C3" s="156" t="s">
        <v>118</v>
      </c>
      <c r="F3" s="5" t="s">
        <v>117</v>
      </c>
      <c r="G3" s="4">
        <f>19*2*1000</f>
        <v>38000</v>
      </c>
      <c r="I3" s="156" t="s">
        <v>118</v>
      </c>
      <c r="J3" s="160" t="s">
        <v>117</v>
      </c>
      <c r="K3" s="158">
        <f>15.5*800*2</f>
        <v>24800</v>
      </c>
      <c r="L3" s="159"/>
      <c r="M3" s="159" t="s">
        <v>118</v>
      </c>
      <c r="N3" s="159"/>
    </row>
    <row r="4" spans="1:14">
      <c r="A4" t="s">
        <v>119</v>
      </c>
      <c r="B4" s="234">
        <v>244800</v>
      </c>
      <c r="C4" s="156" t="s">
        <v>120</v>
      </c>
      <c r="F4" t="s">
        <v>119</v>
      </c>
      <c r="G4" s="4">
        <f>850*36*4*2</f>
        <v>244800</v>
      </c>
      <c r="I4" s="156" t="s">
        <v>120</v>
      </c>
      <c r="J4" s="159" t="s">
        <v>119</v>
      </c>
      <c r="K4" s="158">
        <f>700*4*2*36</f>
        <v>201600</v>
      </c>
      <c r="L4" s="159"/>
      <c r="M4" s="159" t="s">
        <v>121</v>
      </c>
      <c r="N4" s="159"/>
    </row>
    <row r="5" spans="1:14">
      <c r="A5" s="5" t="s">
        <v>117</v>
      </c>
      <c r="B5" s="234">
        <f>42*2*800</f>
        <v>67200</v>
      </c>
      <c r="C5" s="156" t="s">
        <v>118</v>
      </c>
      <c r="F5" s="5" t="s">
        <v>117</v>
      </c>
      <c r="G5" s="4">
        <f>49*2*800</f>
        <v>78400</v>
      </c>
      <c r="I5" s="156" t="s">
        <v>118</v>
      </c>
      <c r="J5" s="160" t="s">
        <v>117</v>
      </c>
      <c r="K5" s="158">
        <f>35*2*700</f>
        <v>49000</v>
      </c>
      <c r="L5" s="159"/>
      <c r="M5" s="159" t="s">
        <v>118</v>
      </c>
      <c r="N5" s="159"/>
    </row>
    <row r="6" spans="1:14">
      <c r="A6" t="s">
        <v>122</v>
      </c>
      <c r="B6" s="4">
        <f>600*108*4*2</f>
        <v>518400</v>
      </c>
      <c r="C6" s="156" t="s">
        <v>123</v>
      </c>
      <c r="F6" t="s">
        <v>122</v>
      </c>
      <c r="G6" s="4">
        <f>600*120*4*2</f>
        <v>576000</v>
      </c>
      <c r="I6" s="156" t="s">
        <v>123</v>
      </c>
      <c r="J6" s="159" t="s">
        <v>122</v>
      </c>
      <c r="K6" s="158">
        <f>500*4*2*119</f>
        <v>476000</v>
      </c>
      <c r="L6" s="159"/>
      <c r="M6" s="159" t="s">
        <v>124</v>
      </c>
      <c r="N6" s="159"/>
    </row>
    <row r="7" spans="1:14">
      <c r="A7" s="5" t="s">
        <v>117</v>
      </c>
      <c r="B7" s="4">
        <f>89*2*600</f>
        <v>106800</v>
      </c>
      <c r="C7" s="156" t="s">
        <v>118</v>
      </c>
      <c r="F7" s="5" t="s">
        <v>117</v>
      </c>
      <c r="G7" s="4">
        <f>92*2*600</f>
        <v>110400</v>
      </c>
      <c r="I7" s="156" t="s">
        <v>118</v>
      </c>
      <c r="J7" s="160" t="s">
        <v>117</v>
      </c>
      <c r="K7" s="158">
        <f>44*2*500</f>
        <v>44000</v>
      </c>
      <c r="L7" s="159"/>
      <c r="M7" s="159" t="s">
        <v>118</v>
      </c>
      <c r="N7" s="159"/>
    </row>
    <row r="8" spans="1:14">
      <c r="A8" t="s">
        <v>125</v>
      </c>
      <c r="B8" s="4">
        <f>163*2400+8*1800</f>
        <v>405600</v>
      </c>
      <c r="C8" s="156" t="s">
        <v>126</v>
      </c>
      <c r="F8" t="s">
        <v>125</v>
      </c>
      <c r="G8" s="4">
        <f>168*2400+12*1800</f>
        <v>424800</v>
      </c>
      <c r="I8" s="156" t="s">
        <v>127</v>
      </c>
      <c r="J8" s="159" t="s">
        <v>125</v>
      </c>
      <c r="K8" s="158">
        <f>2400*135+1800*19</f>
        <v>358200</v>
      </c>
      <c r="L8" s="159"/>
      <c r="M8" s="159" t="s">
        <v>128</v>
      </c>
      <c r="N8" s="159"/>
    </row>
    <row r="9" spans="1:14">
      <c r="I9" s="156"/>
      <c r="J9" s="159"/>
      <c r="K9" s="158"/>
      <c r="L9" s="159"/>
      <c r="M9" s="159" t="s">
        <v>129</v>
      </c>
      <c r="N9" s="159"/>
    </row>
    <row r="10" spans="1:14" ht="14.4">
      <c r="A10" s="3" t="s">
        <v>130</v>
      </c>
      <c r="B10" s="6">
        <f>SUM(B2:B9)</f>
        <v>1463800</v>
      </c>
      <c r="F10" s="3" t="s">
        <v>130</v>
      </c>
      <c r="G10" s="6">
        <f>SUM(G2:G9)</f>
        <v>1568400</v>
      </c>
      <c r="I10" s="156" t="s">
        <v>131</v>
      </c>
      <c r="J10" s="157" t="s">
        <v>130</v>
      </c>
      <c r="K10" s="161">
        <f>SUM(K2:K9)</f>
        <v>1230400</v>
      </c>
      <c r="L10" s="159"/>
      <c r="M10" s="159" t="s">
        <v>131</v>
      </c>
      <c r="N10" s="159"/>
    </row>
    <row r="11" spans="1:14">
      <c r="I11" s="156" t="s">
        <v>132</v>
      </c>
      <c r="J11" s="159"/>
      <c r="K11" s="158"/>
      <c r="L11" s="159"/>
      <c r="M11" s="159"/>
      <c r="N11" s="159"/>
    </row>
    <row r="12" spans="1:14">
      <c r="J12" s="159"/>
      <c r="K12" s="158"/>
      <c r="L12" s="159"/>
      <c r="M12" s="159"/>
      <c r="N12" s="159"/>
    </row>
    <row r="13" spans="1:14" ht="14.4">
      <c r="A13" s="3" t="s">
        <v>133</v>
      </c>
      <c r="F13" s="3" t="s">
        <v>134</v>
      </c>
      <c r="J13" s="157" t="s">
        <v>134</v>
      </c>
      <c r="K13" s="158"/>
      <c r="L13" s="159"/>
      <c r="M13" s="159"/>
      <c r="N13" s="159"/>
    </row>
    <row r="14" spans="1:14">
      <c r="A14" t="s">
        <v>135</v>
      </c>
      <c r="B14" s="235">
        <f>155*400</f>
        <v>62000</v>
      </c>
      <c r="F14" t="s">
        <v>135</v>
      </c>
      <c r="G14" s="4">
        <f>150*400</f>
        <v>60000</v>
      </c>
      <c r="J14" s="159" t="s">
        <v>135</v>
      </c>
      <c r="K14" s="158">
        <f>175*350</f>
        <v>61250</v>
      </c>
      <c r="L14" s="159"/>
      <c r="M14" s="159"/>
      <c r="N14" s="159"/>
    </row>
    <row r="15" spans="1:14">
      <c r="A15" t="s">
        <v>136</v>
      </c>
      <c r="B15" s="234">
        <f>155*400</f>
        <v>62000</v>
      </c>
      <c r="F15" t="s">
        <v>136</v>
      </c>
      <c r="G15" s="4">
        <f>148*400</f>
        <v>59200</v>
      </c>
      <c r="J15" s="159" t="s">
        <v>136</v>
      </c>
      <c r="K15" s="158">
        <f>175*350</f>
        <v>61250</v>
      </c>
      <c r="L15" s="159"/>
      <c r="M15" s="159"/>
      <c r="N15" s="159"/>
    </row>
    <row r="16" spans="1:14">
      <c r="A16" t="s">
        <v>137</v>
      </c>
      <c r="B16" s="234">
        <f>154*400</f>
        <v>61600</v>
      </c>
      <c r="F16" t="s">
        <v>137</v>
      </c>
      <c r="G16" s="4">
        <f>148*400</f>
        <v>59200</v>
      </c>
      <c r="J16" s="159" t="s">
        <v>137</v>
      </c>
      <c r="K16" s="158">
        <f>112*500</f>
        <v>56000</v>
      </c>
      <c r="L16" s="159"/>
      <c r="M16" s="159"/>
      <c r="N16" s="159"/>
    </row>
    <row r="17" spans="1:14">
      <c r="A17" t="s">
        <v>138</v>
      </c>
      <c r="B17" s="4">
        <f>56*800</f>
        <v>44800</v>
      </c>
      <c r="F17" t="s">
        <v>138</v>
      </c>
      <c r="G17" s="4">
        <f>56*800</f>
        <v>44800</v>
      </c>
      <c r="J17" s="159" t="s">
        <v>138</v>
      </c>
      <c r="K17" s="158">
        <f>56*500</f>
        <v>28000</v>
      </c>
      <c r="L17" s="159"/>
      <c r="M17" s="159"/>
      <c r="N17" s="159"/>
    </row>
    <row r="18" spans="1:14">
      <c r="A18" t="s">
        <v>139</v>
      </c>
      <c r="B18" s="4">
        <f>28*1000</f>
        <v>28000</v>
      </c>
      <c r="F18" t="s">
        <v>139</v>
      </c>
      <c r="G18" s="4">
        <f>28*1000</f>
        <v>28000</v>
      </c>
      <c r="J18" s="159" t="s">
        <v>139</v>
      </c>
      <c r="K18" s="158">
        <f>28*500</f>
        <v>14000</v>
      </c>
      <c r="L18" s="159"/>
      <c r="M18" s="159"/>
      <c r="N18" s="159"/>
    </row>
    <row r="19" spans="1:14">
      <c r="A19" t="s">
        <v>140</v>
      </c>
      <c r="B19" s="4">
        <f>14*1000</f>
        <v>14000</v>
      </c>
      <c r="F19" t="s">
        <v>140</v>
      </c>
      <c r="G19" s="4">
        <f>14*1000</f>
        <v>14000</v>
      </c>
      <c r="J19" s="159" t="s">
        <v>140</v>
      </c>
      <c r="K19" s="158">
        <f>14*500</f>
        <v>7000</v>
      </c>
      <c r="L19" s="159"/>
      <c r="M19" s="159"/>
      <c r="N19" s="159"/>
    </row>
    <row r="20" spans="1:14">
      <c r="J20" s="159"/>
      <c r="K20" s="158"/>
      <c r="L20" s="159"/>
      <c r="M20" s="159"/>
      <c r="N20" s="159"/>
    </row>
    <row r="21" spans="1:14" ht="14.4">
      <c r="A21" s="3" t="s">
        <v>141</v>
      </c>
      <c r="B21" s="6">
        <f>SUM(B14:B20)</f>
        <v>272400</v>
      </c>
      <c r="F21" s="3" t="s">
        <v>141</v>
      </c>
      <c r="G21" s="6">
        <f>SUM(G14:G20)</f>
        <v>265200</v>
      </c>
      <c r="J21" s="157" t="s">
        <v>141</v>
      </c>
      <c r="K21" s="161">
        <f>SUM(K14:K20)</f>
        <v>227500</v>
      </c>
      <c r="L21" s="159"/>
      <c r="M21" s="159"/>
      <c r="N21" s="159"/>
    </row>
    <row r="22" spans="1:14">
      <c r="J22" s="159"/>
      <c r="K22" s="158"/>
      <c r="L22" s="159"/>
      <c r="M22" s="159"/>
      <c r="N22" s="159"/>
    </row>
    <row r="23" spans="1:14">
      <c r="J23" s="159"/>
      <c r="K23" s="158"/>
      <c r="L23" s="159"/>
      <c r="M23" s="159"/>
      <c r="N23" s="159"/>
    </row>
    <row r="24" spans="1:14" ht="14.4">
      <c r="A24" s="3" t="s">
        <v>55</v>
      </c>
      <c r="B24" s="6">
        <f>4000*44</f>
        <v>176000</v>
      </c>
      <c r="F24" s="3" t="s">
        <v>55</v>
      </c>
      <c r="G24" s="6">
        <f>4000*44</f>
        <v>176000</v>
      </c>
      <c r="I24" s="156" t="s">
        <v>142</v>
      </c>
      <c r="J24" s="157" t="s">
        <v>55</v>
      </c>
      <c r="K24" s="158"/>
      <c r="L24" s="159"/>
      <c r="M24" s="159" t="s">
        <v>142</v>
      </c>
      <c r="N24" s="159"/>
    </row>
    <row r="25" spans="1:14" ht="14.4">
      <c r="A25" s="5"/>
      <c r="F25" s="5"/>
      <c r="G25" s="6"/>
      <c r="I25" s="156" t="s">
        <v>143</v>
      </c>
      <c r="J25" s="160">
        <v>44</v>
      </c>
      <c r="K25" s="161">
        <f>44*4000</f>
        <v>176000</v>
      </c>
      <c r="L25" s="159"/>
      <c r="M25" s="159" t="s">
        <v>143</v>
      </c>
      <c r="N25" s="159"/>
    </row>
    <row r="26" spans="1:14">
      <c r="J26" s="159"/>
      <c r="K26" s="158"/>
      <c r="L26" s="159"/>
      <c r="M26" s="159"/>
      <c r="N26" s="159"/>
    </row>
    <row r="27" spans="1:14">
      <c r="J27" s="159"/>
      <c r="K27" s="158"/>
      <c r="L27" s="159"/>
      <c r="M27" s="159"/>
      <c r="N27" s="159"/>
    </row>
    <row r="28" spans="1:14" ht="14.4">
      <c r="A28" s="3" t="s">
        <v>144</v>
      </c>
      <c r="F28" s="3" t="s">
        <v>144</v>
      </c>
      <c r="I28" s="2" t="s">
        <v>145</v>
      </c>
      <c r="J28" s="157" t="s">
        <v>144</v>
      </c>
      <c r="K28" s="158"/>
      <c r="L28" s="159"/>
      <c r="M28" s="159"/>
      <c r="N28" s="159"/>
    </row>
    <row r="29" spans="1:14" ht="14.4">
      <c r="A29" t="s">
        <v>146</v>
      </c>
      <c r="B29" s="236">
        <f>B47</f>
        <v>1066600</v>
      </c>
      <c r="C29" t="s">
        <v>147</v>
      </c>
      <c r="F29" t="s">
        <v>146</v>
      </c>
      <c r="G29" s="6">
        <v>785000</v>
      </c>
      <c r="I29" s="204"/>
      <c r="J29" s="159" t="s">
        <v>146</v>
      </c>
      <c r="K29" s="161">
        <v>1200000</v>
      </c>
      <c r="L29" s="159"/>
      <c r="M29" s="159" t="s">
        <v>148</v>
      </c>
      <c r="N29" s="159"/>
    </row>
    <row r="30" spans="1:14" ht="14.4">
      <c r="A30" t="s">
        <v>54</v>
      </c>
      <c r="B30" s="6">
        <v>80000</v>
      </c>
      <c r="F30" t="s">
        <v>54</v>
      </c>
      <c r="G30" s="6">
        <v>80000</v>
      </c>
      <c r="I30" s="2" t="s">
        <v>149</v>
      </c>
      <c r="J30" s="159" t="s">
        <v>54</v>
      </c>
      <c r="K30" s="161">
        <v>250000</v>
      </c>
      <c r="L30" s="159"/>
      <c r="M30" s="159" t="s">
        <v>150</v>
      </c>
      <c r="N30" s="159"/>
    </row>
    <row r="31" spans="1:14" ht="14.4">
      <c r="A31" t="s">
        <v>55</v>
      </c>
      <c r="B31" s="6">
        <v>150000</v>
      </c>
      <c r="F31" t="s">
        <v>55</v>
      </c>
      <c r="G31" s="6">
        <v>150000</v>
      </c>
      <c r="I31" s="2" t="s">
        <v>151</v>
      </c>
      <c r="J31" s="159" t="s">
        <v>55</v>
      </c>
      <c r="K31" s="161">
        <v>150000</v>
      </c>
      <c r="L31" s="159"/>
      <c r="M31" s="159" t="s">
        <v>152</v>
      </c>
      <c r="N31" s="159"/>
    </row>
    <row r="33" spans="1:7" ht="14.4">
      <c r="B33" s="234" t="s">
        <v>153</v>
      </c>
      <c r="G33" s="6"/>
    </row>
    <row r="35" spans="1:7">
      <c r="A35" t="s">
        <v>154</v>
      </c>
    </row>
    <row r="36" spans="1:7">
      <c r="A36" t="s">
        <v>66</v>
      </c>
      <c r="B36" s="234">
        <f>30*3000</f>
        <v>90000</v>
      </c>
    </row>
    <row r="37" spans="1:7">
      <c r="A37" t="s">
        <v>68</v>
      </c>
      <c r="B37" s="234">
        <f>16*3000</f>
        <v>48000</v>
      </c>
    </row>
    <row r="38" spans="1:7">
      <c r="A38" t="s">
        <v>155</v>
      </c>
      <c r="B38" s="234">
        <f>16*1000</f>
        <v>16000</v>
      </c>
    </row>
    <row r="39" spans="1:7">
      <c r="B39" s="234">
        <f>SUM(B36:B38)</f>
        <v>154000</v>
      </c>
    </row>
    <row r="41" spans="1:7">
      <c r="A41" t="s">
        <v>146</v>
      </c>
    </row>
    <row r="42" spans="1:7">
      <c r="A42" t="s">
        <v>156</v>
      </c>
      <c r="B42" s="234">
        <v>326600</v>
      </c>
    </row>
    <row r="43" spans="1:7">
      <c r="A43" t="s">
        <v>157</v>
      </c>
      <c r="B43" s="234">
        <v>500000</v>
      </c>
    </row>
    <row r="44" spans="1:7">
      <c r="A44" t="s">
        <v>158</v>
      </c>
      <c r="B44" s="234">
        <v>140000</v>
      </c>
    </row>
    <row r="45" spans="1:7">
      <c r="A45" t="s">
        <v>159</v>
      </c>
      <c r="B45" s="234">
        <v>70000</v>
      </c>
    </row>
    <row r="46" spans="1:7">
      <c r="A46" t="s">
        <v>160</v>
      </c>
      <c r="B46" s="234">
        <v>30000</v>
      </c>
    </row>
    <row r="47" spans="1:7">
      <c r="B47" s="234">
        <f>SUM(B42:B46)</f>
        <v>1066600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42"/>
  <sheetViews>
    <sheetView workbookViewId="0">
      <selection activeCell="B9" sqref="B9"/>
    </sheetView>
  </sheetViews>
  <sheetFormatPr baseColWidth="10" defaultColWidth="11.44140625" defaultRowHeight="13.2"/>
  <cols>
    <col min="1" max="1" width="40.44140625" bestFit="1" customWidth="1"/>
    <col min="2" max="2" width="40.44140625" customWidth="1"/>
    <col min="3" max="3" width="5.33203125" bestFit="1" customWidth="1"/>
    <col min="4" max="4" width="10.6640625" bestFit="1" customWidth="1"/>
    <col min="5" max="5" width="40.44140625" customWidth="1"/>
    <col min="6" max="6" width="5.33203125" bestFit="1" customWidth="1"/>
    <col min="7" max="7" width="10.6640625" bestFit="1" customWidth="1"/>
    <col min="8" max="8" width="40.44140625" customWidth="1"/>
    <col min="9" max="9" width="5.33203125" bestFit="1" customWidth="1"/>
    <col min="10" max="10" width="10.6640625" bestFit="1" customWidth="1"/>
    <col min="11" max="11" width="40.44140625" style="117" customWidth="1"/>
    <col min="12" max="12" width="5.33203125" bestFit="1" customWidth="1"/>
    <col min="13" max="13" width="10.6640625" bestFit="1" customWidth="1"/>
    <col min="14" max="14" width="16.5546875" bestFit="1" customWidth="1"/>
    <col min="15" max="15" width="18.44140625" bestFit="1" customWidth="1"/>
    <col min="16" max="16" width="12.33203125" bestFit="1" customWidth="1"/>
  </cols>
  <sheetData>
    <row r="1" spans="1:19" s="182" customFormat="1" ht="14.4">
      <c r="A1" s="180"/>
      <c r="B1" s="180" t="s">
        <v>1</v>
      </c>
      <c r="C1" s="180" t="s">
        <v>161</v>
      </c>
      <c r="D1" s="180" t="s">
        <v>162</v>
      </c>
      <c r="E1" s="180" t="s">
        <v>4</v>
      </c>
      <c r="F1" s="180" t="s">
        <v>161</v>
      </c>
      <c r="G1" s="180" t="s">
        <v>162</v>
      </c>
      <c r="H1" s="180" t="s">
        <v>163</v>
      </c>
      <c r="I1" s="180" t="s">
        <v>161</v>
      </c>
      <c r="J1" s="180" t="s">
        <v>162</v>
      </c>
      <c r="K1" s="181" t="s">
        <v>164</v>
      </c>
      <c r="L1" s="180" t="s">
        <v>161</v>
      </c>
      <c r="M1" s="180" t="s">
        <v>162</v>
      </c>
      <c r="N1" s="180" t="s">
        <v>165</v>
      </c>
      <c r="O1" s="180" t="s">
        <v>166</v>
      </c>
      <c r="P1" s="180" t="s">
        <v>167</v>
      </c>
    </row>
    <row r="2" spans="1:19" ht="12.75" customHeight="1">
      <c r="A2" t="s">
        <v>168</v>
      </c>
      <c r="B2" s="38">
        <f>-C2*D2</f>
        <v>-217500</v>
      </c>
      <c r="C2" s="36">
        <v>150</v>
      </c>
      <c r="D2" s="38">
        <v>1450</v>
      </c>
      <c r="E2" s="38">
        <f>-F2*G2</f>
        <v>-232000</v>
      </c>
      <c r="F2" s="36">
        <v>160</v>
      </c>
      <c r="G2" s="38">
        <v>1450</v>
      </c>
      <c r="H2" s="38">
        <f t="shared" ref="H2:H10" si="0">-I2*J2</f>
        <v>-217500</v>
      </c>
      <c r="I2" s="36">
        <v>150</v>
      </c>
      <c r="J2" s="38">
        <v>1450</v>
      </c>
      <c r="K2" s="117">
        <f>-L2*M2</f>
        <v>-290000</v>
      </c>
      <c r="L2" s="36">
        <v>200</v>
      </c>
      <c r="M2" s="38">
        <v>1450</v>
      </c>
      <c r="N2" s="38">
        <v>-319000</v>
      </c>
      <c r="O2" s="41">
        <v>-262000</v>
      </c>
      <c r="P2" s="42">
        <v>-238000</v>
      </c>
      <c r="Q2" s="27"/>
      <c r="R2" s="27"/>
      <c r="S2" s="27"/>
    </row>
    <row r="3" spans="1:19">
      <c r="A3" t="s">
        <v>169</v>
      </c>
      <c r="B3" s="38">
        <f t="shared" ref="B3:B10" si="1">-C3*D3</f>
        <v>0</v>
      </c>
      <c r="C3" s="36">
        <v>0</v>
      </c>
      <c r="D3" s="38">
        <v>600</v>
      </c>
      <c r="E3" s="38">
        <f t="shared" ref="E3:E10" si="2">-F3*G3</f>
        <v>0</v>
      </c>
      <c r="F3" s="36">
        <v>0</v>
      </c>
      <c r="G3" s="38">
        <v>600</v>
      </c>
      <c r="H3" s="38">
        <f t="shared" si="0"/>
        <v>0</v>
      </c>
      <c r="I3" s="36">
        <v>0</v>
      </c>
      <c r="J3" s="38">
        <v>600</v>
      </c>
      <c r="K3" s="117">
        <f t="shared" ref="K3:K10" si="3">-L3*M3</f>
        <v>-12000</v>
      </c>
      <c r="L3" s="36">
        <v>20</v>
      </c>
      <c r="M3" s="38">
        <v>600</v>
      </c>
      <c r="N3" s="38">
        <v>0</v>
      </c>
      <c r="O3" s="41">
        <v>-12500</v>
      </c>
      <c r="P3" s="42">
        <v>-11400</v>
      </c>
      <c r="Q3" s="27"/>
      <c r="R3" s="27"/>
      <c r="S3" s="27"/>
    </row>
    <row r="4" spans="1:19">
      <c r="A4" t="s">
        <v>170</v>
      </c>
      <c r="B4" s="38">
        <f t="shared" si="1"/>
        <v>-217500</v>
      </c>
      <c r="C4" s="36">
        <v>75</v>
      </c>
      <c r="D4" s="38">
        <v>2900</v>
      </c>
      <c r="E4" s="38">
        <f t="shared" si="2"/>
        <v>-217500</v>
      </c>
      <c r="F4" s="36">
        <v>75</v>
      </c>
      <c r="G4" s="38">
        <v>2900</v>
      </c>
      <c r="H4" s="38">
        <f t="shared" si="0"/>
        <v>-217500</v>
      </c>
      <c r="I4" s="36">
        <v>75</v>
      </c>
      <c r="J4" s="38">
        <v>2900</v>
      </c>
      <c r="K4" s="117">
        <f t="shared" si="3"/>
        <v>-217500</v>
      </c>
      <c r="L4" s="36">
        <v>75</v>
      </c>
      <c r="M4" s="38">
        <v>2900</v>
      </c>
      <c r="N4" s="38">
        <v>-232000</v>
      </c>
      <c r="O4" s="41">
        <v>-228000</v>
      </c>
      <c r="P4" s="42">
        <v>-207000</v>
      </c>
      <c r="Q4" s="27"/>
      <c r="R4" s="27"/>
      <c r="S4" s="27"/>
    </row>
    <row r="5" spans="1:19">
      <c r="A5" t="s">
        <v>171</v>
      </c>
      <c r="B5" s="38">
        <f t="shared" si="1"/>
        <v>0</v>
      </c>
      <c r="C5" s="36">
        <v>0</v>
      </c>
      <c r="D5" s="38">
        <v>800</v>
      </c>
      <c r="E5" s="38">
        <f t="shared" si="2"/>
        <v>0</v>
      </c>
      <c r="F5" s="36">
        <v>0</v>
      </c>
      <c r="G5" s="38">
        <v>800</v>
      </c>
      <c r="H5" s="38">
        <f t="shared" si="0"/>
        <v>-12800</v>
      </c>
      <c r="I5" s="36">
        <v>16</v>
      </c>
      <c r="J5" s="38">
        <v>800</v>
      </c>
      <c r="K5" s="117">
        <f t="shared" si="3"/>
        <v>-24000</v>
      </c>
      <c r="L5" s="36">
        <v>30</v>
      </c>
      <c r="M5" s="38">
        <v>800</v>
      </c>
      <c r="N5" s="38">
        <v>-32000</v>
      </c>
      <c r="O5" s="41">
        <v>-22000</v>
      </c>
      <c r="P5" s="42">
        <v>-20000</v>
      </c>
      <c r="Q5" s="27"/>
      <c r="R5" s="27"/>
      <c r="S5" s="27"/>
    </row>
    <row r="6" spans="1:19">
      <c r="A6" t="s">
        <v>172</v>
      </c>
      <c r="B6" s="38">
        <f t="shared" si="1"/>
        <v>-130500</v>
      </c>
      <c r="C6" s="36">
        <v>45</v>
      </c>
      <c r="D6" s="38">
        <v>2900</v>
      </c>
      <c r="E6" s="38">
        <f t="shared" si="2"/>
        <v>-174000</v>
      </c>
      <c r="F6" s="36">
        <v>60</v>
      </c>
      <c r="G6" s="38">
        <v>2900</v>
      </c>
      <c r="H6" s="38">
        <f t="shared" si="0"/>
        <v>-174000</v>
      </c>
      <c r="I6" s="36">
        <v>60</v>
      </c>
      <c r="J6" s="38">
        <v>2900</v>
      </c>
      <c r="K6" s="117">
        <f t="shared" si="3"/>
        <v>-203000</v>
      </c>
      <c r="L6" s="36">
        <v>70</v>
      </c>
      <c r="M6" s="38">
        <v>2900</v>
      </c>
      <c r="N6" s="38">
        <v>-261000</v>
      </c>
      <c r="O6" s="41">
        <v>-270000</v>
      </c>
      <c r="P6" s="42">
        <v>-246000</v>
      </c>
      <c r="Q6" s="27"/>
      <c r="R6" s="27"/>
      <c r="S6" s="27"/>
    </row>
    <row r="7" spans="1:19">
      <c r="A7" t="s">
        <v>173</v>
      </c>
      <c r="B7" s="38">
        <f t="shared" si="1"/>
        <v>-78300</v>
      </c>
      <c r="C7" s="36">
        <v>54</v>
      </c>
      <c r="D7" s="38">
        <v>1450</v>
      </c>
      <c r="E7" s="38">
        <f t="shared" si="2"/>
        <v>-87000</v>
      </c>
      <c r="F7" s="36">
        <v>60</v>
      </c>
      <c r="G7" s="38">
        <v>1450</v>
      </c>
      <c r="H7" s="38">
        <f t="shared" si="0"/>
        <v>-87000</v>
      </c>
      <c r="I7" s="36">
        <v>60</v>
      </c>
      <c r="J7" s="38">
        <v>1450</v>
      </c>
      <c r="K7" s="117">
        <f t="shared" si="3"/>
        <v>-116000</v>
      </c>
      <c r="L7" s="36">
        <v>80</v>
      </c>
      <c r="M7" s="38">
        <v>1450</v>
      </c>
      <c r="N7" s="38">
        <v>-145000</v>
      </c>
      <c r="O7" s="41">
        <v>-163000</v>
      </c>
      <c r="P7" s="42">
        <v>-148000</v>
      </c>
      <c r="Q7" s="27"/>
      <c r="R7" s="27"/>
      <c r="S7" s="27"/>
    </row>
    <row r="8" spans="1:19">
      <c r="A8" t="s">
        <v>174</v>
      </c>
      <c r="B8" s="38">
        <f t="shared" si="1"/>
        <v>-60900</v>
      </c>
      <c r="C8" s="36">
        <v>42</v>
      </c>
      <c r="D8" s="38">
        <v>1450</v>
      </c>
      <c r="E8" s="38">
        <f t="shared" si="2"/>
        <v>-58000</v>
      </c>
      <c r="F8" s="36">
        <v>40</v>
      </c>
      <c r="G8" s="38">
        <v>1450</v>
      </c>
      <c r="H8" s="38">
        <f t="shared" si="0"/>
        <v>-58000</v>
      </c>
      <c r="I8" s="36">
        <v>40</v>
      </c>
      <c r="J8" s="38">
        <v>1450</v>
      </c>
      <c r="K8" s="117">
        <f t="shared" si="3"/>
        <v>-72500</v>
      </c>
      <c r="L8" s="36">
        <v>50</v>
      </c>
      <c r="M8" s="38">
        <v>1450</v>
      </c>
      <c r="N8" s="38">
        <v>-72500</v>
      </c>
      <c r="O8" s="41">
        <v>-77000</v>
      </c>
      <c r="P8" s="42">
        <v>-70000</v>
      </c>
      <c r="Q8" s="27"/>
      <c r="R8" s="27"/>
      <c r="S8" s="27"/>
    </row>
    <row r="9" spans="1:19">
      <c r="A9" t="s">
        <v>175</v>
      </c>
      <c r="B9" s="38">
        <f t="shared" si="1"/>
        <v>-76000</v>
      </c>
      <c r="C9" s="36">
        <v>40</v>
      </c>
      <c r="D9" s="38">
        <v>1900</v>
      </c>
      <c r="E9" s="38">
        <f t="shared" si="2"/>
        <v>-95000</v>
      </c>
      <c r="F9" s="36">
        <v>50</v>
      </c>
      <c r="G9" s="38">
        <v>1900</v>
      </c>
      <c r="H9" s="38">
        <f t="shared" si="0"/>
        <v>-95000</v>
      </c>
      <c r="I9" s="36">
        <v>50</v>
      </c>
      <c r="J9" s="38">
        <v>1900</v>
      </c>
      <c r="K9" s="117">
        <f t="shared" si="3"/>
        <v>-95000</v>
      </c>
      <c r="L9" s="36">
        <v>50</v>
      </c>
      <c r="M9" s="38">
        <v>1900</v>
      </c>
      <c r="N9" s="38">
        <v>-95000</v>
      </c>
      <c r="O9" s="41">
        <v>-60000</v>
      </c>
      <c r="P9" s="42">
        <v>-54000</v>
      </c>
      <c r="Q9" s="27"/>
      <c r="R9" s="27"/>
      <c r="S9" s="27"/>
    </row>
    <row r="10" spans="1:19">
      <c r="A10" t="s">
        <v>176</v>
      </c>
      <c r="B10" s="38">
        <f t="shared" si="1"/>
        <v>-94250</v>
      </c>
      <c r="C10" s="36">
        <v>65</v>
      </c>
      <c r="D10" s="38">
        <v>1450</v>
      </c>
      <c r="E10" s="38">
        <f t="shared" si="2"/>
        <v>-116000</v>
      </c>
      <c r="F10" s="36">
        <v>80</v>
      </c>
      <c r="G10" s="38">
        <v>1450</v>
      </c>
      <c r="H10" s="38">
        <f t="shared" si="0"/>
        <v>-116000</v>
      </c>
      <c r="I10" s="36">
        <v>80</v>
      </c>
      <c r="J10" s="38">
        <v>1450</v>
      </c>
      <c r="K10" s="117">
        <f t="shared" si="3"/>
        <v>-145000</v>
      </c>
      <c r="L10" s="36">
        <v>100</v>
      </c>
      <c r="M10" s="38">
        <v>1450</v>
      </c>
      <c r="N10" s="38">
        <v>-116000</v>
      </c>
      <c r="O10" s="41">
        <v>-142000</v>
      </c>
      <c r="P10" s="42">
        <v>-129000</v>
      </c>
      <c r="Q10" s="27"/>
      <c r="R10" s="27"/>
      <c r="S10" s="27"/>
    </row>
    <row r="11" spans="1:19">
      <c r="A11" t="s">
        <v>177</v>
      </c>
      <c r="B11" s="38">
        <v>-130000</v>
      </c>
      <c r="C11" s="36"/>
      <c r="D11" s="38"/>
      <c r="E11" s="38">
        <v>-130000</v>
      </c>
      <c r="F11" s="36"/>
      <c r="G11" s="38"/>
      <c r="H11" s="38">
        <v>-120000</v>
      </c>
      <c r="I11" s="36"/>
      <c r="J11" s="38"/>
      <c r="K11" s="117">
        <v>-200000</v>
      </c>
      <c r="L11" s="36"/>
      <c r="M11" s="38"/>
      <c r="N11" s="38">
        <v>-150000</v>
      </c>
      <c r="O11" s="41">
        <v>-102000</v>
      </c>
      <c r="P11" s="42">
        <v>-93000</v>
      </c>
      <c r="Q11" s="27"/>
      <c r="R11" s="27"/>
      <c r="S11" s="27"/>
    </row>
    <row r="12" spans="1:19">
      <c r="A12" t="s">
        <v>178</v>
      </c>
      <c r="B12" s="38">
        <v>60000</v>
      </c>
      <c r="C12" s="36"/>
      <c r="D12" s="38"/>
      <c r="E12" s="38">
        <v>-80000</v>
      </c>
      <c r="F12" s="36"/>
      <c r="G12" s="38"/>
      <c r="H12" s="38">
        <v>-75000</v>
      </c>
      <c r="I12" s="36"/>
      <c r="J12" s="38"/>
      <c r="K12" s="117">
        <v>-70000</v>
      </c>
      <c r="L12" s="36"/>
      <c r="M12" s="38"/>
      <c r="N12" s="38">
        <v>-20000</v>
      </c>
      <c r="O12" s="41">
        <v>0</v>
      </c>
      <c r="P12" s="42">
        <v>-80000</v>
      </c>
    </row>
    <row r="13" spans="1:19">
      <c r="A13" t="s">
        <v>179</v>
      </c>
      <c r="B13" s="38">
        <v>0</v>
      </c>
      <c r="C13" s="36"/>
      <c r="D13" s="38"/>
      <c r="E13" s="38">
        <v>-100000</v>
      </c>
      <c r="F13" s="36"/>
      <c r="G13" s="38"/>
      <c r="H13" s="38"/>
      <c r="I13" s="36"/>
      <c r="J13" s="38"/>
      <c r="L13" s="36"/>
      <c r="M13" s="38"/>
      <c r="N13" s="38"/>
      <c r="O13" s="41"/>
      <c r="P13" s="42"/>
    </row>
    <row r="14" spans="1:19">
      <c r="A14" t="s">
        <v>180</v>
      </c>
      <c r="B14" s="38">
        <v>10000</v>
      </c>
      <c r="C14" s="36"/>
      <c r="D14" s="38"/>
      <c r="E14" s="38"/>
      <c r="F14" s="36"/>
      <c r="G14" s="38"/>
      <c r="H14" s="38"/>
      <c r="I14" s="36"/>
      <c r="J14" s="38"/>
      <c r="L14" s="36"/>
      <c r="M14" s="38"/>
      <c r="N14" s="38"/>
      <c r="O14" s="41"/>
      <c r="P14" s="42"/>
    </row>
    <row r="15" spans="1:19" ht="15.6">
      <c r="A15" s="281" t="s">
        <v>181</v>
      </c>
      <c r="B15" s="282">
        <f>SUM(B2:B14)</f>
        <v>-934950</v>
      </c>
      <c r="C15" s="283"/>
      <c r="D15" s="284"/>
      <c r="E15" s="282">
        <f>SUM(E2:E13)</f>
        <v>-1289500</v>
      </c>
      <c r="F15" s="283"/>
      <c r="G15" s="284"/>
      <c r="H15" s="282">
        <f>SUM(H2:H12)</f>
        <v>-1172800</v>
      </c>
      <c r="I15" s="283"/>
      <c r="J15" s="284"/>
      <c r="K15" s="285">
        <f>SUM(K2:K12)</f>
        <v>-1445000</v>
      </c>
      <c r="L15" s="283"/>
      <c r="M15" s="284"/>
      <c r="N15" s="284">
        <v>-1442500</v>
      </c>
      <c r="O15" s="286">
        <f>SUM(O2:O12)</f>
        <v>-1338500</v>
      </c>
      <c r="P15" s="287">
        <f>SUM(P2:P12)</f>
        <v>-1296400</v>
      </c>
    </row>
    <row r="16" spans="1:19">
      <c r="B16" s="29"/>
      <c r="C16" s="36"/>
      <c r="D16" s="29"/>
      <c r="E16" s="29"/>
      <c r="F16" s="36"/>
      <c r="G16" s="29"/>
      <c r="H16" s="38"/>
      <c r="I16" s="36"/>
      <c r="J16" s="29"/>
      <c r="L16" s="36"/>
      <c r="M16" s="29"/>
      <c r="N16" s="29"/>
      <c r="O16" s="33"/>
      <c r="P16" s="33"/>
    </row>
    <row r="17" spans="1:16">
      <c r="A17" t="s">
        <v>182</v>
      </c>
      <c r="B17" s="29">
        <v>0</v>
      </c>
      <c r="C17" s="36"/>
      <c r="D17" s="29"/>
      <c r="E17" s="29">
        <v>0</v>
      </c>
      <c r="F17" s="36"/>
      <c r="G17" s="29"/>
      <c r="H17" s="38">
        <v>35000</v>
      </c>
      <c r="I17" s="36"/>
      <c r="J17" s="29"/>
      <c r="K17" s="117">
        <v>35000</v>
      </c>
      <c r="L17" s="36"/>
      <c r="M17" s="29"/>
      <c r="N17" s="38">
        <v>35000</v>
      </c>
      <c r="O17" s="41">
        <v>35000</v>
      </c>
      <c r="P17" s="33">
        <v>35000</v>
      </c>
    </row>
    <row r="18" spans="1:16">
      <c r="A18" t="s">
        <v>183</v>
      </c>
      <c r="B18" s="29">
        <v>220000</v>
      </c>
      <c r="C18" s="36"/>
      <c r="D18" s="29"/>
      <c r="E18" s="29">
        <v>300000</v>
      </c>
      <c r="F18" s="36"/>
      <c r="G18" s="29"/>
      <c r="H18" s="38">
        <v>180000</v>
      </c>
      <c r="I18" s="36"/>
      <c r="J18" s="29"/>
      <c r="K18" s="117">
        <v>220000</v>
      </c>
      <c r="L18" s="36"/>
      <c r="M18" s="29"/>
      <c r="N18" s="38">
        <v>200000</v>
      </c>
      <c r="O18" s="41">
        <v>200000</v>
      </c>
      <c r="P18" s="33">
        <v>200000</v>
      </c>
    </row>
    <row r="19" spans="1:16">
      <c r="A19" t="s">
        <v>184</v>
      </c>
      <c r="B19" s="29"/>
      <c r="C19" s="36"/>
      <c r="D19" s="29"/>
      <c r="E19" s="29"/>
      <c r="F19" s="36"/>
      <c r="G19" s="29"/>
      <c r="H19" s="150" t="s">
        <v>185</v>
      </c>
      <c r="I19" s="36"/>
      <c r="J19" s="29"/>
      <c r="K19" s="117">
        <v>0</v>
      </c>
      <c r="L19" s="36"/>
      <c r="M19" s="29"/>
      <c r="N19" s="38">
        <v>5400</v>
      </c>
      <c r="O19" s="41">
        <v>5000</v>
      </c>
      <c r="P19" s="33">
        <v>5000</v>
      </c>
    </row>
    <row r="20" spans="1:16">
      <c r="A20" t="s">
        <v>186</v>
      </c>
      <c r="B20" s="29"/>
      <c r="C20" s="36"/>
      <c r="D20" s="29"/>
      <c r="E20" s="29"/>
      <c r="F20" s="36"/>
      <c r="G20" s="29"/>
      <c r="H20" s="150" t="s">
        <v>185</v>
      </c>
      <c r="I20" s="36"/>
      <c r="J20" s="29"/>
      <c r="K20" s="117">
        <v>0</v>
      </c>
      <c r="L20" s="36"/>
      <c r="M20" s="29"/>
      <c r="N20" s="38">
        <v>1000</v>
      </c>
      <c r="O20" s="41">
        <v>1800</v>
      </c>
      <c r="P20" s="33">
        <v>1800</v>
      </c>
    </row>
    <row r="21" spans="1:16">
      <c r="A21" s="2" t="s">
        <v>187</v>
      </c>
      <c r="B21" s="35"/>
      <c r="C21" s="37"/>
      <c r="D21" s="35"/>
      <c r="E21" s="35"/>
      <c r="F21" s="37"/>
      <c r="G21" s="35"/>
      <c r="H21" s="39" t="s">
        <v>185</v>
      </c>
      <c r="I21" s="37"/>
      <c r="J21" s="35"/>
      <c r="K21" s="118">
        <v>0</v>
      </c>
      <c r="L21" s="37"/>
      <c r="M21" s="35"/>
      <c r="N21" s="40">
        <v>15000</v>
      </c>
      <c r="O21" s="41">
        <v>25000</v>
      </c>
      <c r="P21" s="43" t="s">
        <v>185</v>
      </c>
    </row>
    <row r="22" spans="1:16">
      <c r="A22" s="2" t="s">
        <v>188</v>
      </c>
      <c r="B22" s="35">
        <v>15000</v>
      </c>
      <c r="C22" s="37"/>
      <c r="D22" s="35"/>
      <c r="E22" s="35"/>
      <c r="F22" s="37"/>
      <c r="G22" s="35"/>
      <c r="H22" s="40">
        <v>30000</v>
      </c>
      <c r="I22" s="37"/>
      <c r="J22" s="35"/>
      <c r="K22" s="118">
        <v>30000</v>
      </c>
      <c r="L22" s="37"/>
      <c r="M22" s="35"/>
      <c r="N22" s="40">
        <v>30000</v>
      </c>
      <c r="O22" s="41">
        <v>30000</v>
      </c>
      <c r="P22" s="43" t="s">
        <v>185</v>
      </c>
    </row>
    <row r="23" spans="1:16">
      <c r="A23" t="s">
        <v>189</v>
      </c>
      <c r="B23" s="29"/>
      <c r="C23" s="36"/>
      <c r="D23" s="29"/>
      <c r="E23" s="29"/>
      <c r="F23" s="36"/>
      <c r="G23" s="29"/>
      <c r="H23" s="38"/>
      <c r="I23" s="36"/>
      <c r="J23" s="29"/>
      <c r="K23" s="117">
        <v>0</v>
      </c>
      <c r="L23" s="36"/>
      <c r="M23" s="29"/>
      <c r="N23" s="39" t="s">
        <v>185</v>
      </c>
      <c r="O23" s="41">
        <v>0</v>
      </c>
      <c r="P23" s="33">
        <v>0</v>
      </c>
    </row>
    <row r="24" spans="1:16">
      <c r="A24" t="s">
        <v>190</v>
      </c>
      <c r="B24" s="29"/>
      <c r="C24" s="36"/>
      <c r="D24" s="29"/>
      <c r="E24" s="29"/>
      <c r="F24" s="36"/>
      <c r="G24" s="29"/>
      <c r="H24" s="38"/>
      <c r="I24" s="36"/>
      <c r="J24" s="29"/>
      <c r="K24" s="117">
        <v>0</v>
      </c>
      <c r="L24" s="36"/>
      <c r="M24" s="29"/>
      <c r="N24" s="39" t="s">
        <v>185</v>
      </c>
      <c r="O24" s="41">
        <v>0</v>
      </c>
      <c r="P24" s="33">
        <v>0</v>
      </c>
    </row>
    <row r="25" spans="1:16">
      <c r="A25" t="s">
        <v>191</v>
      </c>
      <c r="B25" s="29"/>
      <c r="C25" s="36"/>
      <c r="D25" s="29"/>
      <c r="E25" s="29"/>
      <c r="F25" s="36"/>
      <c r="G25" s="29"/>
      <c r="H25" s="38"/>
      <c r="I25" s="36"/>
      <c r="J25" s="29"/>
      <c r="K25" s="117">
        <f>K18*0.141</f>
        <v>31019.999999999996</v>
      </c>
      <c r="L25" s="36"/>
      <c r="M25" s="29"/>
      <c r="N25" s="38">
        <v>25000</v>
      </c>
      <c r="O25" s="41">
        <v>30000</v>
      </c>
      <c r="P25" s="33">
        <v>30000</v>
      </c>
    </row>
    <row r="26" spans="1:16">
      <c r="A26" t="s">
        <v>192</v>
      </c>
      <c r="B26" s="29"/>
      <c r="C26" s="36"/>
      <c r="D26" s="29"/>
      <c r="E26" s="29"/>
      <c r="F26" s="36"/>
      <c r="G26" s="29"/>
      <c r="H26" s="38"/>
      <c r="I26" s="36"/>
      <c r="J26" s="29"/>
      <c r="K26" s="117">
        <v>0</v>
      </c>
      <c r="L26" s="36"/>
      <c r="M26" s="29"/>
      <c r="N26" s="39" t="s">
        <v>185</v>
      </c>
      <c r="O26" s="41">
        <v>35000</v>
      </c>
      <c r="P26" s="33">
        <v>35000</v>
      </c>
    </row>
    <row r="27" spans="1:16">
      <c r="A27" t="s">
        <v>193</v>
      </c>
      <c r="B27" s="29">
        <v>30000</v>
      </c>
      <c r="C27" s="36"/>
      <c r="D27" s="29"/>
      <c r="E27" s="29">
        <v>30000</v>
      </c>
      <c r="F27" s="36"/>
      <c r="G27" s="29"/>
      <c r="H27" s="38">
        <v>4000</v>
      </c>
      <c r="I27" s="36"/>
      <c r="J27" s="29"/>
      <c r="K27" s="117">
        <v>40000</v>
      </c>
      <c r="L27" s="36"/>
      <c r="M27" s="29"/>
      <c r="N27" s="38">
        <v>40000</v>
      </c>
      <c r="O27" s="41">
        <v>40000</v>
      </c>
      <c r="P27" s="33">
        <v>25000</v>
      </c>
    </row>
    <row r="28" spans="1:16">
      <c r="A28" t="s">
        <v>194</v>
      </c>
      <c r="B28" s="29">
        <v>55000</v>
      </c>
      <c r="C28" s="36"/>
      <c r="D28" s="29"/>
      <c r="E28" s="29">
        <v>15000</v>
      </c>
      <c r="F28" s="36"/>
      <c r="G28" s="29"/>
      <c r="H28" s="38">
        <v>120000</v>
      </c>
      <c r="I28" s="36"/>
      <c r="J28" s="29"/>
      <c r="K28" s="117">
        <v>0</v>
      </c>
      <c r="L28" s="36"/>
      <c r="M28" s="29"/>
      <c r="N28" s="38">
        <v>0</v>
      </c>
      <c r="O28" s="41">
        <v>0</v>
      </c>
      <c r="P28" s="33">
        <v>180000</v>
      </c>
    </row>
    <row r="29" spans="1:16">
      <c r="A29" t="s">
        <v>195</v>
      </c>
      <c r="B29" s="29">
        <v>120000</v>
      </c>
      <c r="C29" s="36"/>
      <c r="D29" s="29"/>
      <c r="E29" s="29">
        <v>100000</v>
      </c>
      <c r="F29" s="36"/>
      <c r="G29" s="29"/>
      <c r="H29" s="38">
        <v>120000</v>
      </c>
      <c r="I29" s="36"/>
      <c r="J29" s="29"/>
      <c r="K29" s="117">
        <v>150000</v>
      </c>
      <c r="L29" s="36"/>
      <c r="M29" s="29"/>
      <c r="N29" s="38">
        <v>150000</v>
      </c>
      <c r="O29" s="41">
        <v>180000</v>
      </c>
      <c r="P29" s="33">
        <v>180000</v>
      </c>
    </row>
    <row r="30" spans="1:16">
      <c r="A30" t="s">
        <v>196</v>
      </c>
      <c r="B30" s="29">
        <v>60000</v>
      </c>
      <c r="C30" s="36"/>
      <c r="D30" s="29"/>
      <c r="E30" s="29">
        <v>60000</v>
      </c>
      <c r="F30" s="36"/>
      <c r="G30" s="29"/>
      <c r="H30" s="38">
        <v>70000</v>
      </c>
      <c r="I30" s="36"/>
      <c r="J30" s="29"/>
      <c r="K30" s="117">
        <v>60000</v>
      </c>
      <c r="L30" s="36"/>
      <c r="M30" s="29"/>
      <c r="N30" s="38">
        <v>100000</v>
      </c>
      <c r="O30" s="41">
        <v>80000</v>
      </c>
      <c r="P30" s="33">
        <v>60000</v>
      </c>
    </row>
    <row r="31" spans="1:16">
      <c r="A31" t="s">
        <v>197</v>
      </c>
      <c r="B31" s="29">
        <v>60000</v>
      </c>
      <c r="C31" s="36"/>
      <c r="D31" s="29"/>
      <c r="E31" s="29">
        <v>140000</v>
      </c>
      <c r="F31" s="36"/>
      <c r="G31" s="29"/>
      <c r="H31" s="38">
        <v>100000</v>
      </c>
      <c r="I31" s="36"/>
      <c r="J31" s="29"/>
      <c r="K31" s="117">
        <v>80000</v>
      </c>
      <c r="L31" s="36"/>
      <c r="M31" s="29"/>
      <c r="N31" s="38">
        <v>90000</v>
      </c>
      <c r="O31" s="41">
        <v>90000</v>
      </c>
      <c r="P31" s="33">
        <v>65000</v>
      </c>
    </row>
    <row r="32" spans="1:16">
      <c r="A32" t="s">
        <v>198</v>
      </c>
      <c r="B32" s="29">
        <v>0</v>
      </c>
      <c r="C32" s="36"/>
      <c r="D32" s="29"/>
      <c r="E32" s="29">
        <v>0</v>
      </c>
      <c r="F32" s="36"/>
      <c r="G32" s="29"/>
      <c r="H32" s="38">
        <v>0</v>
      </c>
      <c r="I32" s="36"/>
      <c r="J32" s="29"/>
      <c r="K32" s="117">
        <v>0</v>
      </c>
      <c r="L32" s="36"/>
      <c r="M32" s="29"/>
      <c r="N32" s="38">
        <v>0</v>
      </c>
      <c r="O32" s="41">
        <v>30000</v>
      </c>
      <c r="P32" s="33">
        <v>30000</v>
      </c>
    </row>
    <row r="33" spans="1:16">
      <c r="A33" t="s">
        <v>199</v>
      </c>
      <c r="B33" s="29">
        <v>40000</v>
      </c>
      <c r="C33" s="36"/>
      <c r="D33" s="29"/>
      <c r="E33" s="29">
        <v>60000</v>
      </c>
      <c r="F33" s="36"/>
      <c r="G33" s="29"/>
      <c r="H33" s="38">
        <v>35000</v>
      </c>
      <c r="I33" s="36"/>
      <c r="J33" s="29"/>
      <c r="K33" s="117">
        <v>30000</v>
      </c>
      <c r="L33" s="36"/>
      <c r="M33" s="29"/>
      <c r="N33" s="38">
        <v>40000</v>
      </c>
      <c r="O33" s="41">
        <v>40000</v>
      </c>
      <c r="P33" s="33">
        <v>40000</v>
      </c>
    </row>
    <row r="34" spans="1:16">
      <c r="A34" t="s">
        <v>200</v>
      </c>
      <c r="B34" s="29">
        <v>70000</v>
      </c>
      <c r="C34" s="36"/>
      <c r="D34" s="29"/>
      <c r="E34" s="29">
        <v>70000</v>
      </c>
      <c r="F34" s="36"/>
      <c r="G34" s="29"/>
      <c r="H34" s="38">
        <v>100000</v>
      </c>
      <c r="I34" s="36"/>
      <c r="J34" s="29"/>
      <c r="K34" s="117">
        <v>40000</v>
      </c>
      <c r="L34" s="36"/>
      <c r="M34" s="29"/>
      <c r="N34" s="38">
        <v>50000</v>
      </c>
      <c r="O34" s="41">
        <v>50000</v>
      </c>
      <c r="P34" s="33">
        <v>60000</v>
      </c>
    </row>
    <row r="35" spans="1:16">
      <c r="A35" t="s">
        <v>201</v>
      </c>
      <c r="B35" s="29">
        <v>75000</v>
      </c>
      <c r="C35" s="36"/>
      <c r="D35" s="29"/>
      <c r="E35" s="29">
        <v>85000</v>
      </c>
      <c r="F35" s="36"/>
      <c r="G35" s="29"/>
      <c r="H35" s="38">
        <v>70000</v>
      </c>
      <c r="I35" s="36"/>
      <c r="J35" s="29"/>
      <c r="K35" s="117">
        <v>120000</v>
      </c>
      <c r="L35" s="36"/>
      <c r="M35" s="29"/>
      <c r="N35" s="38">
        <v>80000</v>
      </c>
      <c r="O35" s="41">
        <v>80000</v>
      </c>
      <c r="P35" s="33">
        <v>80000</v>
      </c>
    </row>
    <row r="36" spans="1:16">
      <c r="A36" s="2" t="s">
        <v>202</v>
      </c>
      <c r="B36" s="35">
        <v>0</v>
      </c>
      <c r="C36" s="37"/>
      <c r="D36" s="35"/>
      <c r="E36" s="35">
        <v>100000</v>
      </c>
      <c r="F36" s="37"/>
      <c r="G36" s="35"/>
      <c r="H36" s="40">
        <v>100000</v>
      </c>
      <c r="I36" s="37"/>
      <c r="J36" s="35"/>
      <c r="K36" s="118">
        <v>100000</v>
      </c>
      <c r="L36" s="37"/>
      <c r="M36" s="35"/>
      <c r="N36" s="40">
        <v>100000</v>
      </c>
      <c r="O36" s="41">
        <v>150000</v>
      </c>
      <c r="P36" s="43" t="s">
        <v>185</v>
      </c>
    </row>
    <row r="37" spans="1:16">
      <c r="A37" s="2" t="s">
        <v>203</v>
      </c>
      <c r="B37" s="35">
        <v>150000</v>
      </c>
      <c r="C37" s="37"/>
      <c r="D37" s="35"/>
      <c r="E37" s="35">
        <v>0</v>
      </c>
      <c r="F37" s="37"/>
      <c r="G37" s="35"/>
      <c r="H37" s="40">
        <v>0</v>
      </c>
      <c r="I37" s="37"/>
      <c r="J37" s="35"/>
      <c r="K37" s="118">
        <v>10000</v>
      </c>
      <c r="L37" s="37"/>
      <c r="M37" s="35"/>
      <c r="N37" s="40">
        <v>50000</v>
      </c>
      <c r="O37" s="41"/>
      <c r="P37" s="43"/>
    </row>
    <row r="38" spans="1:16">
      <c r="A38" s="2" t="s">
        <v>204</v>
      </c>
      <c r="B38" s="35">
        <v>20000</v>
      </c>
      <c r="C38" s="37"/>
      <c r="D38" s="35"/>
      <c r="E38" s="35">
        <v>20000</v>
      </c>
      <c r="F38" s="37"/>
      <c r="G38" s="35"/>
      <c r="H38" s="40">
        <v>25000</v>
      </c>
      <c r="I38" s="37"/>
      <c r="J38" s="35"/>
      <c r="K38" s="118">
        <v>25000</v>
      </c>
      <c r="L38" s="37"/>
      <c r="M38" s="35"/>
      <c r="N38" s="40"/>
      <c r="O38" s="41"/>
      <c r="P38" s="43"/>
    </row>
    <row r="39" spans="1:16" ht="15.6">
      <c r="A39" s="281" t="s">
        <v>205</v>
      </c>
      <c r="B39" s="284">
        <f>SUM(B17:B38)</f>
        <v>915000</v>
      </c>
      <c r="C39" s="283"/>
      <c r="D39" s="284"/>
      <c r="E39" s="284">
        <f>SUM(E17:E38)</f>
        <v>980000</v>
      </c>
      <c r="F39" s="283"/>
      <c r="G39" s="284"/>
      <c r="H39" s="282">
        <f>SUM(H17:H38)</f>
        <v>989000</v>
      </c>
      <c r="I39" s="283"/>
      <c r="J39" s="284"/>
      <c r="K39" s="285">
        <f>SUM(K17:K38)</f>
        <v>971020</v>
      </c>
      <c r="L39" s="283"/>
      <c r="M39" s="284"/>
      <c r="N39" s="282">
        <v>1011400</v>
      </c>
      <c r="O39" s="286">
        <f>SUM(O17:O36)</f>
        <v>1101800</v>
      </c>
      <c r="P39" s="287">
        <f>SUM(P17:P35)</f>
        <v>1026800</v>
      </c>
    </row>
    <row r="40" spans="1:16">
      <c r="C40" s="36"/>
      <c r="D40" s="29"/>
      <c r="F40" s="36"/>
      <c r="G40" s="29"/>
      <c r="H40" s="38"/>
      <c r="I40" s="36"/>
      <c r="J40" s="29"/>
      <c r="L40" s="36"/>
      <c r="M40" s="29"/>
      <c r="N40" s="38"/>
      <c r="O40" s="33"/>
      <c r="P40" s="33"/>
    </row>
    <row r="41" spans="1:16">
      <c r="C41" s="36"/>
      <c r="D41" s="29"/>
      <c r="F41" s="36"/>
      <c r="G41" s="29"/>
      <c r="H41" s="38"/>
      <c r="I41" s="36"/>
      <c r="J41" s="29"/>
      <c r="L41" s="36"/>
      <c r="M41" s="29"/>
      <c r="N41" s="38"/>
      <c r="O41" s="33"/>
      <c r="P41" s="33"/>
    </row>
    <row r="42" spans="1:16" ht="18.600000000000001" thickBot="1">
      <c r="A42" s="288" t="s">
        <v>206</v>
      </c>
      <c r="B42" s="289">
        <f>B15+B39</f>
        <v>-19950</v>
      </c>
      <c r="C42" s="290"/>
      <c r="D42" s="290"/>
      <c r="E42" s="289">
        <f>E15+E39</f>
        <v>-309500</v>
      </c>
      <c r="F42" s="290"/>
      <c r="G42" s="290"/>
      <c r="H42" s="290">
        <f t="shared" ref="H42" si="4">H15+H39</f>
        <v>-183800</v>
      </c>
      <c r="I42" s="290"/>
      <c r="J42" s="290"/>
      <c r="K42" s="290">
        <f>K15+K39</f>
        <v>-473980</v>
      </c>
      <c r="L42" s="291"/>
      <c r="M42" s="291"/>
      <c r="N42" s="291">
        <v>-431100</v>
      </c>
      <c r="O42" s="292">
        <f>O15+O39</f>
        <v>-236700</v>
      </c>
      <c r="P42" s="293">
        <f>SUM(P15,P39)</f>
        <v>-269600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5DDF-0FCB-4AFE-B27E-8BD715C97153}">
  <sheetPr>
    <tabColor rgb="FF00B050"/>
  </sheetPr>
  <dimension ref="A1:I118"/>
  <sheetViews>
    <sheetView tabSelected="1" topLeftCell="A65" workbookViewId="0">
      <selection activeCell="B18" sqref="B18"/>
    </sheetView>
  </sheetViews>
  <sheetFormatPr baseColWidth="10" defaultColWidth="11.44140625" defaultRowHeight="13.2"/>
  <cols>
    <col min="1" max="1" width="46" customWidth="1"/>
    <col min="2" max="2" width="61.6640625" bestFit="1" customWidth="1"/>
    <col min="3" max="3" width="16.6640625" customWidth="1"/>
    <col min="4" max="4" width="16.109375" customWidth="1"/>
    <col min="5" max="5" width="17.88671875" customWidth="1"/>
    <col min="6" max="6" width="16.44140625" customWidth="1"/>
    <col min="7" max="7" width="16.6640625" customWidth="1"/>
    <col min="8" max="8" width="15.109375" customWidth="1"/>
    <col min="9" max="9" width="91.33203125" bestFit="1" customWidth="1"/>
  </cols>
  <sheetData>
    <row r="1" spans="1:9" ht="33.6" thickBot="1">
      <c r="A1" s="45"/>
      <c r="B1" s="46" t="s">
        <v>207</v>
      </c>
      <c r="C1" s="46"/>
      <c r="D1" s="47"/>
      <c r="E1" s="47"/>
      <c r="F1" s="47"/>
      <c r="G1" s="47"/>
      <c r="H1" s="50"/>
    </row>
    <row r="2" spans="1:9" ht="19.5" customHeight="1" thickTop="1">
      <c r="A2" s="48"/>
      <c r="B2" s="49"/>
      <c r="C2" s="48"/>
      <c r="D2" s="50"/>
      <c r="E2" s="50"/>
      <c r="F2" s="51"/>
      <c r="G2" s="52"/>
      <c r="H2" s="52"/>
    </row>
    <row r="3" spans="1:9" ht="13.8" thickBot="1">
      <c r="A3" s="53" t="s">
        <v>208</v>
      </c>
      <c r="B3" s="53" t="s">
        <v>209</v>
      </c>
      <c r="C3" s="53" t="s">
        <v>210</v>
      </c>
      <c r="D3" s="54"/>
      <c r="E3" s="54" t="s">
        <v>211</v>
      </c>
      <c r="F3" s="95">
        <v>45632</v>
      </c>
    </row>
    <row r="4" spans="1:9" ht="16.2" thickBot="1">
      <c r="A4" s="55">
        <v>900000</v>
      </c>
      <c r="B4" s="56">
        <f>SUM(G8:G96)</f>
        <v>701180</v>
      </c>
      <c r="C4" s="57">
        <f>A4-B4</f>
        <v>198820</v>
      </c>
      <c r="D4" s="58"/>
      <c r="E4" s="54" t="s">
        <v>212</v>
      </c>
      <c r="F4" s="95" t="s">
        <v>213</v>
      </c>
      <c r="G4" s="59"/>
      <c r="H4" s="59"/>
    </row>
    <row r="5" spans="1:9" ht="13.8" thickBot="1">
      <c r="A5" s="54"/>
      <c r="B5" s="54"/>
      <c r="C5" s="54"/>
      <c r="D5" s="54"/>
      <c r="E5" s="54"/>
      <c r="F5" s="1"/>
    </row>
    <row r="6" spans="1:9" ht="13.8" thickBot="1">
      <c r="A6" s="60" t="s">
        <v>214</v>
      </c>
      <c r="B6" s="61" t="s">
        <v>215</v>
      </c>
      <c r="C6" s="61" t="s">
        <v>216</v>
      </c>
      <c r="D6" s="61" t="s">
        <v>217</v>
      </c>
      <c r="E6" s="60" t="s">
        <v>144</v>
      </c>
      <c r="F6" s="60" t="s">
        <v>218</v>
      </c>
      <c r="G6" s="60" t="s">
        <v>219</v>
      </c>
      <c r="H6" s="53"/>
      <c r="I6" s="207" t="s">
        <v>220</v>
      </c>
    </row>
    <row r="7" spans="1:9" ht="15" customHeight="1">
      <c r="A7" s="96" t="s">
        <v>221</v>
      </c>
      <c r="B7" s="97" t="s">
        <v>222</v>
      </c>
      <c r="C7" s="97"/>
      <c r="D7" s="97"/>
      <c r="E7" s="98"/>
      <c r="F7" s="294"/>
      <c r="G7" s="295"/>
      <c r="H7" s="54"/>
    </row>
    <row r="8" spans="1:9" ht="15" customHeight="1">
      <c r="A8" s="63" t="s">
        <v>223</v>
      </c>
      <c r="B8" s="64" t="s">
        <v>224</v>
      </c>
      <c r="C8" s="65">
        <v>65</v>
      </c>
      <c r="D8" s="66">
        <v>1500</v>
      </c>
      <c r="E8" s="67">
        <f>C8*D8</f>
        <v>97500</v>
      </c>
      <c r="F8" s="68"/>
      <c r="G8" s="69"/>
      <c r="H8" s="114"/>
    </row>
    <row r="9" spans="1:9" ht="15" customHeight="1">
      <c r="A9" s="63" t="s">
        <v>225</v>
      </c>
      <c r="B9" s="64" t="s">
        <v>226</v>
      </c>
      <c r="C9" s="65"/>
      <c r="D9" s="66"/>
      <c r="E9" s="67">
        <v>5000</v>
      </c>
      <c r="F9" s="68"/>
      <c r="G9" s="69"/>
      <c r="H9" s="114"/>
    </row>
    <row r="10" spans="1:9" ht="15" customHeight="1">
      <c r="A10" s="63" t="s">
        <v>227</v>
      </c>
      <c r="B10" s="64" t="s">
        <v>228</v>
      </c>
      <c r="C10" s="65"/>
      <c r="D10" s="66"/>
      <c r="E10" s="67">
        <v>12500</v>
      </c>
      <c r="F10" s="68"/>
      <c r="G10" s="69"/>
      <c r="H10" s="114"/>
    </row>
    <row r="11" spans="1:9" ht="15" customHeight="1">
      <c r="A11" s="63" t="s">
        <v>229</v>
      </c>
      <c r="B11" s="64" t="s">
        <v>230</v>
      </c>
      <c r="C11" s="65"/>
      <c r="D11" s="66"/>
      <c r="E11" s="67">
        <v>20000</v>
      </c>
      <c r="F11" s="68"/>
      <c r="G11" s="69"/>
      <c r="H11" s="114"/>
    </row>
    <row r="12" spans="1:9" ht="15" customHeight="1">
      <c r="A12" s="74" t="s">
        <v>231</v>
      </c>
      <c r="B12" s="100"/>
      <c r="C12" s="100"/>
      <c r="D12" s="101"/>
      <c r="E12" s="75">
        <f>SUM(E8:E11)</f>
        <v>135000</v>
      </c>
      <c r="F12" s="75">
        <v>0</v>
      </c>
      <c r="G12" s="76">
        <f>E12-F12</f>
        <v>135000</v>
      </c>
      <c r="H12" s="115"/>
    </row>
    <row r="13" spans="1:9" ht="15" customHeight="1">
      <c r="A13" s="62" t="s">
        <v>232</v>
      </c>
      <c r="B13" s="99" t="s">
        <v>233</v>
      </c>
      <c r="C13" s="99"/>
      <c r="D13" s="99"/>
      <c r="E13" s="62"/>
      <c r="F13" s="62"/>
      <c r="G13" s="62"/>
      <c r="H13" s="54"/>
    </row>
    <row r="14" spans="1:9" ht="15" customHeight="1">
      <c r="A14" s="63" t="s">
        <v>234</v>
      </c>
      <c r="B14" s="64" t="s">
        <v>235</v>
      </c>
      <c r="C14" s="65">
        <v>9</v>
      </c>
      <c r="D14" s="66">
        <v>750</v>
      </c>
      <c r="E14" s="67">
        <f>C14*D14</f>
        <v>6750</v>
      </c>
      <c r="F14" s="68"/>
      <c r="G14" s="69"/>
      <c r="H14" s="114"/>
    </row>
    <row r="15" spans="1:9" ht="15" customHeight="1">
      <c r="A15" s="63" t="s">
        <v>236</v>
      </c>
      <c r="B15" s="64"/>
      <c r="C15" s="65">
        <v>1</v>
      </c>
      <c r="D15" s="66">
        <v>300</v>
      </c>
      <c r="E15" s="67">
        <f>C15*D15</f>
        <v>300</v>
      </c>
      <c r="F15" s="68"/>
      <c r="G15" s="69"/>
      <c r="H15" s="114"/>
    </row>
    <row r="16" spans="1:9" ht="15" customHeight="1">
      <c r="A16" s="63" t="s">
        <v>237</v>
      </c>
      <c r="B16" s="64"/>
      <c r="C16" s="65">
        <v>15</v>
      </c>
      <c r="D16" s="66">
        <v>180</v>
      </c>
      <c r="E16" s="67"/>
      <c r="F16" s="68">
        <f>C16*D16</f>
        <v>2700</v>
      </c>
      <c r="G16" s="69"/>
      <c r="H16" s="114"/>
    </row>
    <row r="17" spans="1:8" ht="15" customHeight="1">
      <c r="A17" s="70" t="s">
        <v>238</v>
      </c>
      <c r="B17" s="71"/>
      <c r="C17" s="72">
        <v>6</v>
      </c>
      <c r="D17" s="73">
        <v>100</v>
      </c>
      <c r="E17" s="67"/>
      <c r="F17" s="68">
        <f>C17*D17</f>
        <v>600</v>
      </c>
      <c r="G17" s="69"/>
      <c r="H17" s="114"/>
    </row>
    <row r="18" spans="1:8" ht="15" customHeight="1">
      <c r="A18" s="70" t="s">
        <v>239</v>
      </c>
      <c r="B18" s="71"/>
      <c r="C18" s="72">
        <v>30</v>
      </c>
      <c r="D18" s="73">
        <v>290</v>
      </c>
      <c r="E18" s="67"/>
      <c r="F18" s="68">
        <f>C18*D18</f>
        <v>8700</v>
      </c>
      <c r="G18" s="69"/>
      <c r="H18" s="114"/>
    </row>
    <row r="19" spans="1:8" ht="15" customHeight="1">
      <c r="A19" s="70" t="s">
        <v>240</v>
      </c>
      <c r="B19" s="71"/>
      <c r="C19" s="72">
        <v>4</v>
      </c>
      <c r="D19" s="73">
        <v>50</v>
      </c>
      <c r="E19" s="67"/>
      <c r="F19" s="68">
        <f>C19*D19</f>
        <v>200</v>
      </c>
      <c r="G19" s="69"/>
      <c r="H19" s="114"/>
    </row>
    <row r="20" spans="1:8" ht="15" customHeight="1">
      <c r="A20" s="296" t="s">
        <v>241</v>
      </c>
      <c r="B20" s="297"/>
      <c r="C20" s="298">
        <v>2</v>
      </c>
      <c r="D20" s="73">
        <v>590</v>
      </c>
      <c r="E20" s="67"/>
      <c r="F20" s="68">
        <f>C20*D20</f>
        <v>1180</v>
      </c>
      <c r="G20" s="69"/>
      <c r="H20" s="114"/>
    </row>
    <row r="21" spans="1:8" ht="15" customHeight="1">
      <c r="A21" s="296" t="s">
        <v>242</v>
      </c>
      <c r="B21" s="297"/>
      <c r="C21" s="298">
        <v>10</v>
      </c>
      <c r="D21" s="73">
        <f>(C18+C19+C20)*5</f>
        <v>180</v>
      </c>
      <c r="E21" s="67">
        <f>C21*D21</f>
        <v>1800</v>
      </c>
      <c r="F21" s="68"/>
      <c r="G21" s="69"/>
      <c r="H21" s="114"/>
    </row>
    <row r="22" spans="1:8" ht="15" customHeight="1">
      <c r="A22" s="74" t="s">
        <v>243</v>
      </c>
      <c r="B22" s="100"/>
      <c r="C22" s="100"/>
      <c r="D22" s="101"/>
      <c r="E22" s="75">
        <f>SUM(E13:E21)</f>
        <v>8850</v>
      </c>
      <c r="F22" s="75">
        <f>SUM(F8:F21)</f>
        <v>13380</v>
      </c>
      <c r="G22" s="76">
        <f>E22-F22</f>
        <v>-4530</v>
      </c>
      <c r="H22" s="115"/>
    </row>
    <row r="23" spans="1:8" ht="15" customHeight="1">
      <c r="A23" s="62" t="s">
        <v>244</v>
      </c>
      <c r="B23" s="99" t="s">
        <v>245</v>
      </c>
      <c r="C23" s="99"/>
      <c r="D23" s="99"/>
      <c r="E23" s="62"/>
      <c r="F23" s="62"/>
      <c r="G23" s="62"/>
      <c r="H23" s="54"/>
    </row>
    <row r="24" spans="1:8" ht="15" customHeight="1">
      <c r="A24" s="63" t="s">
        <v>246</v>
      </c>
      <c r="B24" s="64" t="s">
        <v>235</v>
      </c>
      <c r="C24" s="65">
        <v>6</v>
      </c>
      <c r="D24" s="66">
        <v>750</v>
      </c>
      <c r="E24" s="67">
        <f>C24*D24</f>
        <v>4500</v>
      </c>
      <c r="F24" s="68"/>
      <c r="G24" s="69"/>
      <c r="H24" s="114"/>
    </row>
    <row r="25" spans="1:8" ht="15" customHeight="1">
      <c r="A25" s="63" t="s">
        <v>247</v>
      </c>
      <c r="B25" s="64"/>
      <c r="C25" s="65">
        <v>6</v>
      </c>
      <c r="D25" s="66">
        <v>500</v>
      </c>
      <c r="E25" s="67">
        <f>C25*D25</f>
        <v>3000</v>
      </c>
      <c r="F25" s="68"/>
      <c r="G25" s="69"/>
      <c r="H25" s="114"/>
    </row>
    <row r="26" spans="1:8" ht="15" customHeight="1">
      <c r="A26" s="63" t="s">
        <v>248</v>
      </c>
      <c r="B26" s="64" t="s">
        <v>249</v>
      </c>
      <c r="C26" s="65">
        <v>15</v>
      </c>
      <c r="D26" s="66">
        <v>200</v>
      </c>
      <c r="E26" s="67"/>
      <c r="F26" s="68">
        <f>C26*D26</f>
        <v>3000</v>
      </c>
      <c r="G26" s="69"/>
      <c r="H26" s="114"/>
    </row>
    <row r="27" spans="1:8" ht="15" customHeight="1">
      <c r="A27" s="70" t="s">
        <v>238</v>
      </c>
      <c r="B27" s="71"/>
      <c r="C27" s="72">
        <v>2</v>
      </c>
      <c r="D27" s="73">
        <v>390</v>
      </c>
      <c r="E27" s="67"/>
      <c r="F27" s="68">
        <f>C27*D27</f>
        <v>780</v>
      </c>
      <c r="G27" s="69"/>
      <c r="H27" s="114"/>
    </row>
    <row r="28" spans="1:8" ht="15" customHeight="1">
      <c r="A28" s="70" t="s">
        <v>239</v>
      </c>
      <c r="B28" s="71"/>
      <c r="C28" s="72">
        <v>30</v>
      </c>
      <c r="D28" s="73">
        <v>290</v>
      </c>
      <c r="E28" s="67"/>
      <c r="F28" s="68">
        <f>C28*D28</f>
        <v>8700</v>
      </c>
      <c r="G28" s="69"/>
      <c r="H28" s="114"/>
    </row>
    <row r="29" spans="1:8" ht="15" customHeight="1">
      <c r="A29" s="70" t="s">
        <v>240</v>
      </c>
      <c r="B29" s="71"/>
      <c r="C29" s="72">
        <v>4</v>
      </c>
      <c r="D29" s="73">
        <v>50</v>
      </c>
      <c r="E29" s="67"/>
      <c r="F29" s="68">
        <f>C29*D29</f>
        <v>200</v>
      </c>
      <c r="G29" s="69"/>
      <c r="H29" s="114"/>
    </row>
    <row r="30" spans="1:8" ht="15" customHeight="1">
      <c r="A30" s="296" t="s">
        <v>241</v>
      </c>
      <c r="B30" s="297"/>
      <c r="C30" s="298">
        <v>2</v>
      </c>
      <c r="D30" s="299">
        <v>590</v>
      </c>
      <c r="E30" s="67"/>
      <c r="F30" s="68">
        <f>C30*D30</f>
        <v>1180</v>
      </c>
      <c r="G30" s="69"/>
      <c r="H30" s="114"/>
    </row>
    <row r="31" spans="1:8" ht="15" customHeight="1">
      <c r="A31" s="296" t="s">
        <v>242</v>
      </c>
      <c r="B31" s="297"/>
      <c r="C31" s="298">
        <v>6</v>
      </c>
      <c r="D31" s="299">
        <f>(C28+C29+C30)*5</f>
        <v>180</v>
      </c>
      <c r="E31" s="67">
        <f>C31*D31</f>
        <v>1080</v>
      </c>
      <c r="F31" s="68"/>
      <c r="G31" s="69"/>
      <c r="H31" s="114"/>
    </row>
    <row r="32" spans="1:8" ht="15" customHeight="1">
      <c r="A32" s="74" t="s">
        <v>250</v>
      </c>
      <c r="B32" s="100"/>
      <c r="C32" s="100"/>
      <c r="D32" s="101"/>
      <c r="E32" s="75">
        <f>SUM(E24:E31)</f>
        <v>8580</v>
      </c>
      <c r="F32" s="75">
        <f>SUM(F24:F31)</f>
        <v>13860</v>
      </c>
      <c r="G32" s="76">
        <f>E32-F32</f>
        <v>-5280</v>
      </c>
      <c r="H32" s="115"/>
    </row>
    <row r="33" spans="1:8" ht="15" customHeight="1">
      <c r="A33" s="62" t="s">
        <v>251</v>
      </c>
      <c r="B33" s="99" t="s">
        <v>252</v>
      </c>
      <c r="C33" s="99"/>
      <c r="D33" s="99"/>
      <c r="E33" s="62"/>
      <c r="F33" s="62"/>
      <c r="G33" s="62"/>
      <c r="H33" s="54"/>
    </row>
    <row r="34" spans="1:8" ht="15" customHeight="1">
      <c r="A34" s="63" t="s">
        <v>234</v>
      </c>
      <c r="B34" s="64" t="s">
        <v>235</v>
      </c>
      <c r="C34" s="65">
        <v>9</v>
      </c>
      <c r="D34" s="66">
        <v>750</v>
      </c>
      <c r="E34" s="67">
        <f>C34*D34</f>
        <v>6750</v>
      </c>
      <c r="F34" s="68"/>
      <c r="G34" s="69"/>
      <c r="H34" s="114"/>
    </row>
    <row r="35" spans="1:8" ht="15" customHeight="1">
      <c r="A35" s="63" t="s">
        <v>236</v>
      </c>
      <c r="B35" s="64"/>
      <c r="C35" s="65">
        <v>1</v>
      </c>
      <c r="D35" s="66">
        <v>300</v>
      </c>
      <c r="E35" s="67">
        <f>C35*D35</f>
        <v>300</v>
      </c>
      <c r="F35" s="68"/>
      <c r="G35" s="69"/>
      <c r="H35" s="114"/>
    </row>
    <row r="36" spans="1:8" ht="15" customHeight="1">
      <c r="A36" s="63" t="s">
        <v>253</v>
      </c>
      <c r="B36" s="64"/>
      <c r="C36" s="65">
        <v>25</v>
      </c>
      <c r="D36" s="66">
        <v>180</v>
      </c>
      <c r="E36" s="67"/>
      <c r="F36" s="68">
        <f t="shared" ref="F36:F40" si="0">C36*D36</f>
        <v>4500</v>
      </c>
      <c r="G36" s="69"/>
      <c r="H36" s="114"/>
    </row>
    <row r="37" spans="1:8" ht="15" customHeight="1">
      <c r="A37" s="70" t="s">
        <v>238</v>
      </c>
      <c r="B37" s="71"/>
      <c r="C37" s="72">
        <v>10</v>
      </c>
      <c r="D37" s="73">
        <v>100</v>
      </c>
      <c r="E37" s="67"/>
      <c r="F37" s="68">
        <f t="shared" si="0"/>
        <v>1000</v>
      </c>
      <c r="G37" s="69"/>
      <c r="H37" s="114"/>
    </row>
    <row r="38" spans="1:8" ht="15" customHeight="1">
      <c r="A38" s="70" t="s">
        <v>254</v>
      </c>
      <c r="B38" s="71"/>
      <c r="C38" s="72">
        <v>50</v>
      </c>
      <c r="D38" s="73">
        <v>290</v>
      </c>
      <c r="E38" s="67"/>
      <c r="F38" s="68">
        <f t="shared" si="0"/>
        <v>14500</v>
      </c>
      <c r="G38" s="69"/>
      <c r="H38" s="114"/>
    </row>
    <row r="39" spans="1:8" ht="15" customHeight="1">
      <c r="A39" s="70" t="s">
        <v>255</v>
      </c>
      <c r="B39" s="71" t="s">
        <v>256</v>
      </c>
      <c r="C39" s="72">
        <v>10</v>
      </c>
      <c r="D39" s="73">
        <v>160</v>
      </c>
      <c r="E39" s="67">
        <f>C39*D39</f>
        <v>1600</v>
      </c>
      <c r="F39" s="68"/>
      <c r="G39" s="69"/>
      <c r="H39" s="114"/>
    </row>
    <row r="40" spans="1:8" ht="15" customHeight="1">
      <c r="A40" s="70" t="s">
        <v>240</v>
      </c>
      <c r="B40" s="71" t="s">
        <v>257</v>
      </c>
      <c r="C40" s="72">
        <v>6</v>
      </c>
      <c r="D40" s="73">
        <v>50</v>
      </c>
      <c r="E40" s="67"/>
      <c r="F40" s="68">
        <f t="shared" si="0"/>
        <v>300</v>
      </c>
      <c r="G40" s="69"/>
      <c r="H40" s="114"/>
    </row>
    <row r="41" spans="1:8" ht="15" customHeight="1">
      <c r="A41" s="70" t="s">
        <v>258</v>
      </c>
      <c r="B41" s="71"/>
      <c r="C41" s="72">
        <v>2</v>
      </c>
      <c r="D41" s="73">
        <v>500</v>
      </c>
      <c r="E41" s="67">
        <f>C41*D41</f>
        <v>1000</v>
      </c>
      <c r="F41" s="68"/>
      <c r="G41" s="69"/>
      <c r="H41" s="114"/>
    </row>
    <row r="42" spans="1:8" ht="15" customHeight="1">
      <c r="A42" s="70" t="s">
        <v>242</v>
      </c>
      <c r="B42" s="71"/>
      <c r="C42" s="72">
        <v>10</v>
      </c>
      <c r="D42" s="73">
        <f>(C38+C40)*5</f>
        <v>280</v>
      </c>
      <c r="E42" s="67">
        <f>C42*D42</f>
        <v>2800</v>
      </c>
      <c r="F42" s="68"/>
      <c r="G42" s="69"/>
      <c r="H42" s="114"/>
    </row>
    <row r="43" spans="1:8" ht="15" customHeight="1">
      <c r="A43" s="74" t="s">
        <v>259</v>
      </c>
      <c r="B43" s="100"/>
      <c r="C43" s="100"/>
      <c r="D43" s="101"/>
      <c r="E43" s="75">
        <f>SUM(E33:E42)</f>
        <v>12450</v>
      </c>
      <c r="F43" s="75">
        <f>SUM(F33:F42)</f>
        <v>20300</v>
      </c>
      <c r="G43" s="76">
        <f>E43-F43</f>
        <v>-7850</v>
      </c>
    </row>
    <row r="44" spans="1:8" ht="15" customHeight="1">
      <c r="A44" s="62" t="s">
        <v>260</v>
      </c>
      <c r="B44" s="99" t="s">
        <v>261</v>
      </c>
      <c r="C44" s="99"/>
      <c r="D44" s="99"/>
      <c r="E44" s="62"/>
      <c r="F44" s="62"/>
      <c r="G44" s="62"/>
      <c r="H44" s="54"/>
    </row>
    <row r="45" spans="1:8" ht="15" customHeight="1">
      <c r="A45" s="63" t="s">
        <v>262</v>
      </c>
      <c r="B45" s="64" t="s">
        <v>263</v>
      </c>
      <c r="C45" s="65">
        <v>150</v>
      </c>
      <c r="D45" s="66">
        <v>200</v>
      </c>
      <c r="E45" s="67"/>
      <c r="F45" s="68">
        <f>C45*D45</f>
        <v>30000</v>
      </c>
      <c r="G45" s="69"/>
      <c r="H45" s="114"/>
    </row>
    <row r="46" spans="1:8" ht="15" customHeight="1">
      <c r="A46" s="63" t="s">
        <v>264</v>
      </c>
      <c r="B46" s="64"/>
      <c r="C46" s="65">
        <v>5</v>
      </c>
      <c r="D46" s="66">
        <f>60*5</f>
        <v>300</v>
      </c>
      <c r="E46" s="67">
        <f>D46*C46</f>
        <v>1500</v>
      </c>
      <c r="F46" s="68"/>
      <c r="G46" s="69"/>
      <c r="H46" s="114"/>
    </row>
    <row r="47" spans="1:8" ht="15" customHeight="1">
      <c r="A47" s="63" t="s">
        <v>234</v>
      </c>
      <c r="B47" s="205" t="s">
        <v>235</v>
      </c>
      <c r="C47" s="65">
        <v>5</v>
      </c>
      <c r="D47" s="66">
        <v>750</v>
      </c>
      <c r="E47" s="67">
        <f>C47*D47</f>
        <v>3750</v>
      </c>
      <c r="F47" s="68"/>
      <c r="G47" s="69"/>
      <c r="H47" s="74" t="s">
        <v>265</v>
      </c>
    </row>
    <row r="48" spans="1:8" ht="15" customHeight="1">
      <c r="A48" s="74" t="s">
        <v>266</v>
      </c>
      <c r="B48" s="100"/>
      <c r="C48" s="100"/>
      <c r="D48" s="101"/>
      <c r="E48" s="75">
        <f>SUM(E45:E47)</f>
        <v>5250</v>
      </c>
      <c r="F48" s="75">
        <f>SUM(F45:F47)</f>
        <v>30000</v>
      </c>
      <c r="G48" s="76">
        <f>E48-F48</f>
        <v>-24750</v>
      </c>
      <c r="H48" s="116">
        <f>G22+G32+G43+G48</f>
        <v>-42410</v>
      </c>
    </row>
    <row r="49" spans="1:9" ht="15" customHeight="1">
      <c r="A49" s="62" t="s">
        <v>93</v>
      </c>
      <c r="B49" s="99" t="s">
        <v>267</v>
      </c>
      <c r="C49" s="99"/>
      <c r="D49" s="99"/>
      <c r="E49" s="62"/>
      <c r="F49" s="62"/>
      <c r="G49" s="62"/>
      <c r="H49" s="54"/>
    </row>
    <row r="50" spans="1:9" ht="15" customHeight="1">
      <c r="A50" s="63" t="s">
        <v>268</v>
      </c>
      <c r="B50" s="64" t="s">
        <v>269</v>
      </c>
      <c r="C50" s="65"/>
      <c r="D50" s="66"/>
      <c r="E50" s="67">
        <v>20000</v>
      </c>
      <c r="F50" s="68"/>
      <c r="G50" s="69"/>
      <c r="H50" s="114"/>
    </row>
    <row r="51" spans="1:9" ht="15" customHeight="1">
      <c r="A51" s="63" t="s">
        <v>270</v>
      </c>
      <c r="B51" s="64" t="s">
        <v>271</v>
      </c>
      <c r="C51" s="65">
        <v>20</v>
      </c>
      <c r="D51" s="66">
        <v>200</v>
      </c>
      <c r="E51" s="67">
        <f>C51*D51</f>
        <v>4000</v>
      </c>
      <c r="F51" s="68"/>
      <c r="G51" s="69"/>
      <c r="H51" s="114"/>
    </row>
    <row r="52" spans="1:9" ht="15" customHeight="1">
      <c r="A52" s="63" t="s">
        <v>272</v>
      </c>
      <c r="B52" s="64" t="s">
        <v>273</v>
      </c>
      <c r="C52" s="65"/>
      <c r="D52" s="66"/>
      <c r="E52" s="67">
        <v>15000</v>
      </c>
      <c r="F52" s="68"/>
      <c r="G52" s="69"/>
      <c r="H52" s="114"/>
    </row>
    <row r="53" spans="1:9" ht="15" customHeight="1">
      <c r="A53" s="63" t="s">
        <v>156</v>
      </c>
      <c r="B53" s="64" t="s">
        <v>274</v>
      </c>
      <c r="C53" s="65">
        <v>20</v>
      </c>
      <c r="D53" s="66">
        <v>1500</v>
      </c>
      <c r="E53" s="67">
        <f>C53*D53</f>
        <v>30000</v>
      </c>
      <c r="F53" s="68"/>
      <c r="G53" s="69"/>
      <c r="H53" s="114"/>
    </row>
    <row r="54" spans="1:9" ht="15" customHeight="1">
      <c r="A54" s="74" t="s">
        <v>275</v>
      </c>
      <c r="B54" s="100"/>
      <c r="C54" s="100"/>
      <c r="D54" s="101"/>
      <c r="E54" s="75">
        <f>SUM(E50:E53)</f>
        <v>69000</v>
      </c>
      <c r="F54" s="75"/>
      <c r="G54" s="76">
        <f>E54-F54</f>
        <v>69000</v>
      </c>
      <c r="H54" s="114"/>
    </row>
    <row r="55" spans="1:9" ht="15" customHeight="1">
      <c r="A55" s="62" t="s">
        <v>276</v>
      </c>
      <c r="B55" s="99" t="s">
        <v>277</v>
      </c>
      <c r="C55" s="99"/>
      <c r="D55" s="99"/>
      <c r="E55" s="62"/>
      <c r="F55" s="62"/>
      <c r="G55" s="62"/>
      <c r="H55" s="114"/>
    </row>
    <row r="56" spans="1:9" ht="15" customHeight="1">
      <c r="A56" s="63" t="s">
        <v>278</v>
      </c>
      <c r="B56" s="64"/>
      <c r="C56" s="65"/>
      <c r="D56" s="66"/>
      <c r="E56" s="67">
        <v>3000</v>
      </c>
      <c r="F56" s="68"/>
      <c r="G56" s="69"/>
      <c r="H56" s="114"/>
    </row>
    <row r="57" spans="1:9" ht="15" customHeight="1">
      <c r="A57" s="74" t="s">
        <v>279</v>
      </c>
      <c r="B57" s="100"/>
      <c r="C57" s="100"/>
      <c r="D57" s="101"/>
      <c r="E57" s="75">
        <f>SUM(E56:E56)</f>
        <v>3000</v>
      </c>
      <c r="F57" s="75">
        <v>0</v>
      </c>
      <c r="G57" s="76">
        <f>E57-F57</f>
        <v>3000</v>
      </c>
      <c r="H57" s="114"/>
    </row>
    <row r="58" spans="1:9" ht="15" customHeight="1">
      <c r="A58" s="62" t="s">
        <v>280</v>
      </c>
      <c r="B58" s="99" t="s">
        <v>281</v>
      </c>
      <c r="C58" s="99"/>
      <c r="D58" s="99"/>
      <c r="E58" s="62"/>
      <c r="F58" s="62"/>
      <c r="G58" s="62"/>
      <c r="H58" s="114"/>
      <c r="I58" s="2" t="s">
        <v>282</v>
      </c>
    </row>
    <row r="59" spans="1:9" ht="15" customHeight="1">
      <c r="A59" s="63" t="s">
        <v>283</v>
      </c>
      <c r="B59" s="64"/>
      <c r="C59" s="65"/>
      <c r="D59" s="66"/>
      <c r="E59" s="67">
        <v>20000</v>
      </c>
      <c r="F59" s="68"/>
      <c r="G59" s="69"/>
      <c r="H59" s="114"/>
      <c r="I59" s="2" t="s">
        <v>284</v>
      </c>
    </row>
    <row r="60" spans="1:9" ht="15" customHeight="1">
      <c r="A60" s="63" t="s">
        <v>285</v>
      </c>
      <c r="B60" s="64" t="s">
        <v>286</v>
      </c>
      <c r="C60" s="65"/>
      <c r="D60" s="66"/>
      <c r="E60" s="67">
        <v>1590</v>
      </c>
      <c r="F60" s="68"/>
      <c r="G60" s="69"/>
      <c r="H60" s="114"/>
      <c r="I60" s="2" t="s">
        <v>287</v>
      </c>
    </row>
    <row r="61" spans="1:9" ht="15" customHeight="1">
      <c r="A61" s="63" t="s">
        <v>288</v>
      </c>
      <c r="B61" s="64"/>
      <c r="C61" s="65"/>
      <c r="D61" s="66"/>
      <c r="E61" s="67">
        <v>10000</v>
      </c>
      <c r="F61" s="68"/>
      <c r="G61" s="69"/>
      <c r="H61" s="114"/>
    </row>
    <row r="62" spans="1:9" ht="15" customHeight="1">
      <c r="A62" s="74" t="s">
        <v>289</v>
      </c>
      <c r="B62" s="100"/>
      <c r="C62" s="100"/>
      <c r="D62" s="101"/>
      <c r="E62" s="75">
        <f>SUM(E59:E61)</f>
        <v>31590</v>
      </c>
      <c r="F62" s="75"/>
      <c r="G62" s="76">
        <f>E62-F62</f>
        <v>31590</v>
      </c>
      <c r="H62" s="114"/>
    </row>
    <row r="63" spans="1:9" ht="15" customHeight="1">
      <c r="A63" s="62" t="s">
        <v>96</v>
      </c>
      <c r="B63" s="99" t="s">
        <v>290</v>
      </c>
      <c r="C63" s="99"/>
      <c r="D63" s="99"/>
      <c r="E63" s="62"/>
      <c r="F63" s="62"/>
      <c r="G63" s="62"/>
      <c r="H63" s="54"/>
      <c r="I63" s="2" t="s">
        <v>291</v>
      </c>
    </row>
    <row r="64" spans="1:9" ht="15" customHeight="1">
      <c r="A64" s="63" t="s">
        <v>292</v>
      </c>
      <c r="B64" s="64" t="s">
        <v>293</v>
      </c>
      <c r="C64" s="65">
        <v>2</v>
      </c>
      <c r="D64" s="66">
        <v>25000</v>
      </c>
      <c r="E64" s="67">
        <f>C64*D64</f>
        <v>50000</v>
      </c>
      <c r="F64" s="68"/>
      <c r="G64" s="69"/>
      <c r="H64" s="114"/>
      <c r="I64" t="s">
        <v>294</v>
      </c>
    </row>
    <row r="65" spans="1:9" ht="15" customHeight="1">
      <c r="A65" s="63" t="s">
        <v>295</v>
      </c>
      <c r="B65" s="64" t="s">
        <v>296</v>
      </c>
      <c r="C65" s="65">
        <v>2</v>
      </c>
      <c r="D65" s="66">
        <v>5000</v>
      </c>
      <c r="E65" s="67">
        <f>C65*D65</f>
        <v>10000</v>
      </c>
      <c r="F65" s="68"/>
      <c r="G65" s="69"/>
      <c r="H65" s="114"/>
      <c r="I65" t="s">
        <v>297</v>
      </c>
    </row>
    <row r="66" spans="1:9" ht="15" customHeight="1">
      <c r="A66" s="63" t="s">
        <v>298</v>
      </c>
      <c r="B66" s="64" t="s">
        <v>299</v>
      </c>
      <c r="C66" s="65">
        <v>2</v>
      </c>
      <c r="D66" s="66">
        <v>25000</v>
      </c>
      <c r="E66" s="67">
        <f>C66*D66</f>
        <v>50000</v>
      </c>
      <c r="F66" s="68"/>
      <c r="G66" s="69"/>
      <c r="H66" s="114"/>
    </row>
    <row r="67" spans="1:9" ht="15" customHeight="1">
      <c r="A67" s="63" t="s">
        <v>298</v>
      </c>
      <c r="B67" s="64" t="s">
        <v>300</v>
      </c>
      <c r="C67" s="65">
        <v>6</v>
      </c>
      <c r="D67" s="66">
        <v>5000</v>
      </c>
      <c r="E67" s="67">
        <f>C67*D67</f>
        <v>30000</v>
      </c>
      <c r="F67" s="68"/>
      <c r="G67" s="69"/>
      <c r="H67" s="114"/>
    </row>
    <row r="68" spans="1:9" ht="15" customHeight="1">
      <c r="A68" s="74" t="s">
        <v>301</v>
      </c>
      <c r="B68" s="100"/>
      <c r="C68" s="100"/>
      <c r="D68" s="101"/>
      <c r="E68" s="75">
        <f>SUM(E64:E67)</f>
        <v>140000</v>
      </c>
      <c r="F68" s="75"/>
      <c r="G68" s="76">
        <f>E68-F68</f>
        <v>140000</v>
      </c>
      <c r="H68" s="114"/>
    </row>
    <row r="69" spans="1:9" ht="15" customHeight="1">
      <c r="A69" s="62" t="s">
        <v>97</v>
      </c>
      <c r="B69" s="99"/>
      <c r="C69" s="99"/>
      <c r="D69" s="99"/>
      <c r="E69" s="62"/>
      <c r="F69" s="62"/>
      <c r="G69" s="62"/>
      <c r="H69" s="54"/>
    </row>
    <row r="70" spans="1:9" ht="15" customHeight="1">
      <c r="A70" s="63" t="s">
        <v>302</v>
      </c>
      <c r="B70" s="64" t="s">
        <v>303</v>
      </c>
      <c r="C70" s="65"/>
      <c r="D70" s="66"/>
      <c r="E70" s="67">
        <v>10000</v>
      </c>
      <c r="F70" s="68"/>
      <c r="G70" s="69"/>
      <c r="H70" s="114"/>
    </row>
    <row r="71" spans="1:9" ht="15" customHeight="1">
      <c r="A71" s="63" t="s">
        <v>304</v>
      </c>
      <c r="B71" s="64" t="s">
        <v>305</v>
      </c>
      <c r="C71" s="65">
        <v>52</v>
      </c>
      <c r="D71" s="66">
        <v>1000</v>
      </c>
      <c r="E71" s="67">
        <f>C71*D71</f>
        <v>52000</v>
      </c>
      <c r="F71" s="68"/>
      <c r="G71" s="69"/>
      <c r="H71" s="114"/>
    </row>
    <row r="72" spans="1:9" ht="15" customHeight="1">
      <c r="A72" s="74" t="s">
        <v>306</v>
      </c>
      <c r="B72" s="100"/>
      <c r="C72" s="100"/>
      <c r="D72" s="101"/>
      <c r="E72" s="75">
        <f>SUM(E70:E71)</f>
        <v>62000</v>
      </c>
      <c r="F72" s="75">
        <f>SUM(F70:F71)</f>
        <v>0</v>
      </c>
      <c r="G72" s="76">
        <f>E72-F72</f>
        <v>62000</v>
      </c>
      <c r="H72" s="114"/>
    </row>
    <row r="73" spans="1:9" ht="15" customHeight="1">
      <c r="A73" s="62" t="s">
        <v>90</v>
      </c>
      <c r="B73" s="99" t="s">
        <v>307</v>
      </c>
      <c r="C73" s="99"/>
      <c r="D73" s="99"/>
      <c r="E73" s="62"/>
      <c r="F73" s="62"/>
      <c r="G73" s="62"/>
      <c r="H73" s="54"/>
      <c r="I73" t="s">
        <v>308</v>
      </c>
    </row>
    <row r="74" spans="1:9" ht="15" customHeight="1">
      <c r="A74" s="63" t="s">
        <v>309</v>
      </c>
      <c r="B74" s="64" t="s">
        <v>310</v>
      </c>
      <c r="C74" s="65">
        <v>5</v>
      </c>
      <c r="D74" s="66">
        <v>2500</v>
      </c>
      <c r="E74" s="67">
        <f>C74*D74</f>
        <v>12500</v>
      </c>
      <c r="F74" s="68"/>
      <c r="G74" s="69"/>
      <c r="H74" s="114"/>
      <c r="I74" t="s">
        <v>311</v>
      </c>
    </row>
    <row r="75" spans="1:9" ht="15" customHeight="1">
      <c r="A75" s="63" t="s">
        <v>312</v>
      </c>
      <c r="B75" s="64" t="s">
        <v>313</v>
      </c>
      <c r="C75" s="65">
        <v>10</v>
      </c>
      <c r="D75" s="66">
        <v>1700</v>
      </c>
      <c r="E75" s="67">
        <f>C75*D75</f>
        <v>17000</v>
      </c>
      <c r="F75" s="68"/>
      <c r="G75" s="69"/>
      <c r="H75" s="114"/>
    </row>
    <row r="76" spans="1:9" ht="15" customHeight="1">
      <c r="A76" s="63" t="s">
        <v>314</v>
      </c>
      <c r="B76" s="64" t="s">
        <v>315</v>
      </c>
      <c r="C76" s="65">
        <v>2</v>
      </c>
      <c r="D76" s="66">
        <v>10000</v>
      </c>
      <c r="E76" s="67">
        <f>C76*D76</f>
        <v>20000</v>
      </c>
      <c r="F76" s="68"/>
      <c r="G76" s="69"/>
      <c r="H76" s="114"/>
    </row>
    <row r="77" spans="1:9" ht="15" customHeight="1">
      <c r="A77" s="63" t="s">
        <v>316</v>
      </c>
      <c r="B77" s="64" t="s">
        <v>317</v>
      </c>
      <c r="C77" s="65">
        <v>10</v>
      </c>
      <c r="D77" s="66">
        <v>2000</v>
      </c>
      <c r="E77" s="67">
        <f>C77*D77</f>
        <v>20000</v>
      </c>
      <c r="F77" s="68"/>
      <c r="G77" s="69"/>
      <c r="H77" s="114"/>
      <c r="I77" t="s">
        <v>318</v>
      </c>
    </row>
    <row r="78" spans="1:9" ht="15" customHeight="1">
      <c r="A78" s="74" t="s">
        <v>319</v>
      </c>
      <c r="B78" s="100"/>
      <c r="C78" s="100"/>
      <c r="D78" s="101"/>
      <c r="E78" s="75">
        <f>SUM(E74:E77)</f>
        <v>69500</v>
      </c>
      <c r="F78" s="75">
        <f>SUM(F74:F77)</f>
        <v>0</v>
      </c>
      <c r="G78" s="76">
        <f>E78-F78</f>
        <v>69500</v>
      </c>
      <c r="H78" s="114"/>
    </row>
    <row r="79" spans="1:9" ht="15" customHeight="1">
      <c r="A79" s="62" t="s">
        <v>320</v>
      </c>
      <c r="B79" s="99" t="s">
        <v>321</v>
      </c>
      <c r="C79" s="99"/>
      <c r="D79" s="99"/>
      <c r="E79" s="62"/>
      <c r="F79" s="62"/>
      <c r="G79" s="62"/>
      <c r="H79" s="54"/>
      <c r="I79" t="s">
        <v>322</v>
      </c>
    </row>
    <row r="80" spans="1:9" ht="15" customHeight="1">
      <c r="A80" s="63" t="s">
        <v>323</v>
      </c>
      <c r="B80" s="64"/>
      <c r="C80" s="65"/>
      <c r="D80" s="66"/>
      <c r="E80" s="67"/>
      <c r="F80" s="68">
        <v>517549</v>
      </c>
      <c r="G80" s="69"/>
      <c r="H80" s="114"/>
      <c r="I80" s="2"/>
    </row>
    <row r="81" spans="1:9" ht="15" customHeight="1">
      <c r="A81" s="63" t="s">
        <v>324</v>
      </c>
      <c r="B81" s="64" t="s">
        <v>325</v>
      </c>
      <c r="C81" s="65">
        <v>1</v>
      </c>
      <c r="D81" s="66">
        <v>46875</v>
      </c>
      <c r="E81" s="67">
        <f>C81*D81</f>
        <v>46875</v>
      </c>
      <c r="F81" s="68"/>
      <c r="G81" s="69"/>
      <c r="H81" s="114"/>
      <c r="I81" s="2"/>
    </row>
    <row r="82" spans="1:9" ht="15" customHeight="1">
      <c r="A82" s="63" t="s">
        <v>326</v>
      </c>
      <c r="B82" s="64" t="s">
        <v>327</v>
      </c>
      <c r="C82" s="65"/>
      <c r="D82" s="66"/>
      <c r="E82" s="67">
        <v>244174</v>
      </c>
      <c r="F82" s="68"/>
      <c r="G82" s="69"/>
      <c r="H82" s="114"/>
      <c r="I82" s="2"/>
    </row>
    <row r="83" spans="1:9" ht="15" customHeight="1">
      <c r="A83" s="63" t="s">
        <v>328</v>
      </c>
      <c r="B83" s="64"/>
      <c r="C83" s="65"/>
      <c r="D83" s="66"/>
      <c r="E83" s="67">
        <v>88500</v>
      </c>
      <c r="F83" s="68"/>
      <c r="G83" s="69"/>
      <c r="H83" s="114"/>
      <c r="I83" s="2"/>
    </row>
    <row r="84" spans="1:9" ht="15" customHeight="1">
      <c r="A84" s="63" t="s">
        <v>329</v>
      </c>
      <c r="B84" s="64" t="s">
        <v>330</v>
      </c>
      <c r="C84" s="65"/>
      <c r="D84" s="66"/>
      <c r="E84" s="67">
        <v>190000</v>
      </c>
      <c r="F84" s="68"/>
      <c r="G84" s="69"/>
      <c r="H84" s="114"/>
    </row>
    <row r="85" spans="1:9" ht="15" customHeight="1">
      <c r="A85" s="63" t="s">
        <v>331</v>
      </c>
      <c r="B85" s="64" t="s">
        <v>332</v>
      </c>
      <c r="C85" s="65"/>
      <c r="D85" s="66"/>
      <c r="E85" s="67">
        <v>54000</v>
      </c>
      <c r="F85" s="68"/>
      <c r="G85" s="69"/>
      <c r="H85" s="114"/>
    </row>
    <row r="86" spans="1:9" ht="15" customHeight="1">
      <c r="A86" s="63" t="s">
        <v>333</v>
      </c>
      <c r="B86" s="64" t="s">
        <v>334</v>
      </c>
      <c r="C86" s="65">
        <v>6</v>
      </c>
      <c r="D86" s="66">
        <v>10000</v>
      </c>
      <c r="E86" s="67">
        <f>C86*D86</f>
        <v>60000</v>
      </c>
      <c r="F86" s="68"/>
      <c r="G86" s="69"/>
      <c r="H86" s="115"/>
      <c r="I86" s="2" t="s">
        <v>335</v>
      </c>
    </row>
    <row r="87" spans="1:9" ht="15" customHeight="1">
      <c r="A87" s="74" t="s">
        <v>336</v>
      </c>
      <c r="B87" s="100"/>
      <c r="C87" s="100"/>
      <c r="D87" s="101"/>
      <c r="E87" s="75">
        <f>SUM(E80:E86)</f>
        <v>683549</v>
      </c>
      <c r="F87" s="75">
        <f>SUM(F80:F86)</f>
        <v>517549</v>
      </c>
      <c r="G87" s="76">
        <f>E87-F87</f>
        <v>166000</v>
      </c>
      <c r="H87" s="114"/>
    </row>
    <row r="88" spans="1:9" ht="15" customHeight="1">
      <c r="A88" s="62" t="s">
        <v>337</v>
      </c>
      <c r="B88" s="99"/>
      <c r="C88" s="99"/>
      <c r="D88" s="99"/>
      <c r="E88" s="62"/>
      <c r="F88" s="62"/>
      <c r="G88" s="62"/>
      <c r="H88" s="54"/>
    </row>
    <row r="89" spans="1:9" ht="15" customHeight="1">
      <c r="A89" s="63" t="s">
        <v>323</v>
      </c>
      <c r="B89" s="64"/>
      <c r="C89" s="65"/>
      <c r="D89" s="66"/>
      <c r="E89" s="89"/>
      <c r="F89" s="90">
        <v>667850</v>
      </c>
      <c r="G89" s="69"/>
      <c r="H89" s="114"/>
    </row>
    <row r="90" spans="1:9" ht="15" customHeight="1">
      <c r="A90" s="63" t="s">
        <v>338</v>
      </c>
      <c r="B90" s="64" t="s">
        <v>339</v>
      </c>
      <c r="C90" s="65"/>
      <c r="D90" s="66"/>
      <c r="E90" s="89">
        <v>667850</v>
      </c>
      <c r="F90" s="90"/>
      <c r="G90" s="69"/>
      <c r="H90" s="114"/>
    </row>
    <row r="91" spans="1:9" ht="15" customHeight="1">
      <c r="A91" s="63" t="s">
        <v>340</v>
      </c>
      <c r="B91" s="64" t="s">
        <v>341</v>
      </c>
      <c r="C91" s="65"/>
      <c r="D91" s="66"/>
      <c r="E91" s="89"/>
      <c r="F91" s="90">
        <v>250000</v>
      </c>
      <c r="G91" s="69"/>
      <c r="H91" s="114"/>
    </row>
    <row r="92" spans="1:9" ht="15" customHeight="1">
      <c r="A92" s="63" t="s">
        <v>340</v>
      </c>
      <c r="B92" s="64" t="s">
        <v>342</v>
      </c>
      <c r="C92" s="65"/>
      <c r="D92" s="66"/>
      <c r="E92" s="89">
        <f>F91*0.95</f>
        <v>237500</v>
      </c>
      <c r="F92" s="90"/>
      <c r="G92" s="69"/>
      <c r="H92" s="114"/>
    </row>
    <row r="93" spans="1:9" ht="15" customHeight="1" thickBot="1">
      <c r="A93" s="91" t="s">
        <v>343</v>
      </c>
      <c r="B93" s="92"/>
      <c r="C93" s="92"/>
      <c r="D93" s="93"/>
      <c r="E93" s="94">
        <f>SUM(E89:E92)</f>
        <v>905350</v>
      </c>
      <c r="F93" s="94">
        <f>SUM(F89:F92)</f>
        <v>917850</v>
      </c>
      <c r="G93" s="94">
        <f>E93-F93</f>
        <v>-12500</v>
      </c>
    </row>
    <row r="94" spans="1:9" ht="15" customHeight="1">
      <c r="A94" s="62" t="s">
        <v>344</v>
      </c>
      <c r="B94" s="99" t="s">
        <v>345</v>
      </c>
      <c r="C94" s="99"/>
      <c r="D94" s="99"/>
      <c r="E94" s="62"/>
      <c r="F94" s="62"/>
      <c r="G94" s="62"/>
      <c r="H94" s="54"/>
    </row>
    <row r="95" spans="1:9" ht="15" customHeight="1">
      <c r="A95" s="63" t="s">
        <v>346</v>
      </c>
      <c r="B95" s="64" t="s">
        <v>347</v>
      </c>
      <c r="C95" s="65">
        <v>40</v>
      </c>
      <c r="D95" s="66">
        <v>2000</v>
      </c>
      <c r="E95" s="89">
        <f>C95*D95</f>
        <v>80000</v>
      </c>
      <c r="F95" s="90"/>
      <c r="G95" s="69"/>
      <c r="H95" s="114"/>
    </row>
    <row r="96" spans="1:9" ht="15" customHeight="1" thickBot="1">
      <c r="A96" s="91" t="s">
        <v>348</v>
      </c>
      <c r="B96" s="92"/>
      <c r="C96" s="92"/>
      <c r="D96" s="93"/>
      <c r="E96" s="94">
        <f>SUM(E95:E95)</f>
        <v>80000</v>
      </c>
      <c r="F96" s="94">
        <f>SUM(F95:F95)</f>
        <v>0</v>
      </c>
      <c r="G96" s="94">
        <f>E96-F96</f>
        <v>80000</v>
      </c>
    </row>
    <row r="97" spans="1:9" ht="15" customHeight="1"/>
    <row r="98" spans="1:9" ht="15" customHeight="1"/>
    <row r="99" spans="1:9" ht="15" customHeight="1"/>
    <row r="100" spans="1:9" ht="15" customHeight="1"/>
    <row r="101" spans="1:9" ht="15" customHeight="1"/>
    <row r="102" spans="1:9" ht="15" customHeight="1">
      <c r="A102" s="62" t="s">
        <v>100</v>
      </c>
      <c r="B102" s="99" t="s">
        <v>349</v>
      </c>
      <c r="C102" s="99"/>
      <c r="D102" s="99"/>
      <c r="E102" s="62"/>
      <c r="F102" s="62"/>
      <c r="G102" s="62"/>
      <c r="H102" s="114"/>
      <c r="I102" t="s">
        <v>350</v>
      </c>
    </row>
    <row r="103" spans="1:9" ht="15" customHeight="1">
      <c r="A103" s="63" t="s">
        <v>351</v>
      </c>
      <c r="B103" s="64" t="s">
        <v>352</v>
      </c>
      <c r="C103" s="65">
        <v>28</v>
      </c>
      <c r="D103" s="66">
        <v>4000</v>
      </c>
      <c r="E103" s="89">
        <f>C103*D103</f>
        <v>112000</v>
      </c>
      <c r="F103" s="90"/>
      <c r="G103" s="69"/>
      <c r="H103" s="114"/>
      <c r="I103" t="s">
        <v>353</v>
      </c>
    </row>
    <row r="104" spans="1:9" ht="15" customHeight="1">
      <c r="A104" s="63" t="s">
        <v>354</v>
      </c>
      <c r="B104" s="64" t="s">
        <v>355</v>
      </c>
      <c r="C104" s="65">
        <v>26</v>
      </c>
      <c r="D104" s="66">
        <v>1200</v>
      </c>
      <c r="E104" s="89"/>
      <c r="F104" s="90">
        <f>C104*D104</f>
        <v>31200</v>
      </c>
      <c r="G104" s="69"/>
      <c r="H104" s="114"/>
    </row>
    <row r="105" spans="1:9" ht="15" customHeight="1">
      <c r="A105" s="63" t="s">
        <v>356</v>
      </c>
      <c r="B105" s="64" t="s">
        <v>357</v>
      </c>
      <c r="C105" s="65">
        <v>2</v>
      </c>
      <c r="D105" s="66">
        <v>2500</v>
      </c>
      <c r="E105" s="89">
        <f>C105*D105</f>
        <v>5000</v>
      </c>
      <c r="F105" s="90"/>
      <c r="G105" s="69"/>
      <c r="H105" s="114"/>
    </row>
    <row r="106" spans="1:9" ht="15" customHeight="1" thickBot="1">
      <c r="A106" s="91" t="s">
        <v>358</v>
      </c>
      <c r="B106" s="92"/>
      <c r="C106" s="92"/>
      <c r="D106" s="93"/>
      <c r="E106" s="94">
        <f>SUM(E103:E105)</f>
        <v>117000</v>
      </c>
      <c r="F106" s="94">
        <f>SUM(F103:F105)</f>
        <v>31200</v>
      </c>
      <c r="G106" s="94">
        <f>E106-F106</f>
        <v>85800</v>
      </c>
      <c r="I106" s="159"/>
    </row>
    <row r="107" spans="1:9" ht="15" customHeight="1"/>
    <row r="108" spans="1:9" ht="15" customHeight="1"/>
    <row r="109" spans="1:9" ht="15" customHeight="1">
      <c r="A109" s="62" t="s">
        <v>24</v>
      </c>
      <c r="B109" s="99" t="s">
        <v>359</v>
      </c>
      <c r="C109" s="99"/>
      <c r="D109" s="99"/>
      <c r="E109" s="62"/>
      <c r="F109" s="62"/>
      <c r="G109" s="62"/>
      <c r="H109" s="114"/>
    </row>
    <row r="110" spans="1:9" ht="15" customHeight="1">
      <c r="A110" s="63" t="s">
        <v>360</v>
      </c>
      <c r="B110" s="64" t="s">
        <v>361</v>
      </c>
      <c r="C110" s="65">
        <v>26</v>
      </c>
      <c r="D110" s="66">
        <v>600</v>
      </c>
      <c r="E110" s="89"/>
      <c r="F110" s="90">
        <f>C110*D110</f>
        <v>15600</v>
      </c>
      <c r="G110" s="69"/>
      <c r="H110" s="114"/>
    </row>
    <row r="111" spans="1:9" ht="15" customHeight="1">
      <c r="A111" s="63" t="s">
        <v>362</v>
      </c>
      <c r="B111" s="64" t="s">
        <v>363</v>
      </c>
      <c r="C111" s="65">
        <v>36</v>
      </c>
      <c r="D111" s="66">
        <v>200</v>
      </c>
      <c r="E111" s="89"/>
      <c r="F111" s="90">
        <f>C111*D111</f>
        <v>7200</v>
      </c>
      <c r="G111" s="69"/>
      <c r="H111" s="114"/>
    </row>
    <row r="112" spans="1:9" ht="15" customHeight="1">
      <c r="A112" s="63" t="s">
        <v>364</v>
      </c>
      <c r="B112" s="64" t="s">
        <v>365</v>
      </c>
      <c r="C112" s="65">
        <v>12</v>
      </c>
      <c r="D112" s="66">
        <v>100</v>
      </c>
      <c r="E112" s="89"/>
      <c r="F112" s="90">
        <f>C112*D112</f>
        <v>1200</v>
      </c>
      <c r="G112" s="69"/>
      <c r="H112" s="114"/>
    </row>
    <row r="113" spans="1:8" ht="15" customHeight="1">
      <c r="A113" s="63" t="s">
        <v>366</v>
      </c>
      <c r="B113" s="64" t="s">
        <v>367</v>
      </c>
      <c r="C113" s="65">
        <v>6</v>
      </c>
      <c r="D113" s="66">
        <v>150</v>
      </c>
      <c r="E113" s="89">
        <f>C113*D113</f>
        <v>900</v>
      </c>
      <c r="F113" s="90"/>
      <c r="G113" s="69"/>
      <c r="H113" s="114"/>
    </row>
    <row r="114" spans="1:8" ht="15" customHeight="1">
      <c r="A114" s="63" t="s">
        <v>368</v>
      </c>
      <c r="B114" s="64" t="s">
        <v>369</v>
      </c>
      <c r="C114" s="65"/>
      <c r="D114" s="66"/>
      <c r="E114" s="89">
        <v>870</v>
      </c>
      <c r="F114" s="90"/>
      <c r="G114" s="69"/>
      <c r="H114" s="114"/>
    </row>
    <row r="115" spans="1:8" ht="15" customHeight="1">
      <c r="A115" s="63" t="s">
        <v>370</v>
      </c>
      <c r="B115" s="64" t="s">
        <v>371</v>
      </c>
      <c r="C115" s="206">
        <v>100</v>
      </c>
      <c r="D115" s="66">
        <v>600</v>
      </c>
      <c r="E115" s="89">
        <f>C115*D115</f>
        <v>60000</v>
      </c>
      <c r="F115" s="90"/>
      <c r="G115" s="69"/>
      <c r="H115" s="114"/>
    </row>
    <row r="116" spans="1:8" ht="15" customHeight="1">
      <c r="A116" s="63" t="s">
        <v>372</v>
      </c>
      <c r="B116" s="64" t="s">
        <v>373</v>
      </c>
      <c r="C116" s="206">
        <v>1</v>
      </c>
      <c r="D116" s="66">
        <v>10000</v>
      </c>
      <c r="E116" s="89">
        <f>C116*D116</f>
        <v>10000</v>
      </c>
      <c r="F116" s="90"/>
      <c r="G116" s="69"/>
      <c r="H116" s="114"/>
    </row>
    <row r="117" spans="1:8" ht="15" customHeight="1">
      <c r="A117" s="63" t="s">
        <v>374</v>
      </c>
      <c r="B117" s="64" t="s">
        <v>375</v>
      </c>
      <c r="C117" s="65">
        <v>152</v>
      </c>
      <c r="D117" s="66">
        <v>100</v>
      </c>
      <c r="E117" s="89">
        <f>C117*D117</f>
        <v>15200</v>
      </c>
      <c r="F117" s="90"/>
      <c r="G117" s="69"/>
      <c r="H117" s="114"/>
    </row>
    <row r="118" spans="1:8" ht="15" customHeight="1" thickBot="1">
      <c r="A118" s="91" t="s">
        <v>376</v>
      </c>
      <c r="B118" s="92"/>
      <c r="C118" s="92"/>
      <c r="D118" s="93"/>
      <c r="E118" s="94">
        <f>SUM(E110:E117)</f>
        <v>86970</v>
      </c>
      <c r="F118" s="94">
        <f>SUM(F110:F117)</f>
        <v>24000</v>
      </c>
      <c r="G118" s="94">
        <f>E118-F118</f>
        <v>62970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P27"/>
  <sheetViews>
    <sheetView workbookViewId="0">
      <selection activeCell="D16" sqref="D16"/>
    </sheetView>
  </sheetViews>
  <sheetFormatPr baseColWidth="10" defaultColWidth="11.44140625" defaultRowHeight="13.2"/>
  <cols>
    <col min="1" max="1" width="23.88671875" customWidth="1"/>
    <col min="2" max="2" width="16.5546875" customWidth="1"/>
    <col min="3" max="3" width="36.6640625" customWidth="1"/>
    <col min="5" max="5" width="28.6640625" customWidth="1"/>
    <col min="6" max="6" width="15.6640625" customWidth="1"/>
    <col min="7" max="7" width="19.33203125" bestFit="1" customWidth="1"/>
    <col min="8" max="8" width="14.6640625" customWidth="1"/>
    <col min="9" max="9" width="30.44140625" customWidth="1"/>
    <col min="10" max="10" width="12.33203125" customWidth="1"/>
    <col min="11" max="11" width="25.6640625" customWidth="1"/>
    <col min="13" max="13" width="30.44140625" customWidth="1"/>
    <col min="14" max="14" width="12.33203125" customWidth="1"/>
    <col min="15" max="15" width="25.6640625" customWidth="1"/>
  </cols>
  <sheetData>
    <row r="1" spans="1:16" ht="17.399999999999999">
      <c r="A1" s="358" t="s">
        <v>377</v>
      </c>
      <c r="B1" s="358"/>
      <c r="C1" s="358"/>
      <c r="D1" s="155"/>
      <c r="E1" s="357" t="s">
        <v>378</v>
      </c>
      <c r="F1" s="357"/>
      <c r="G1" s="357"/>
      <c r="H1" s="356" t="s">
        <v>379</v>
      </c>
      <c r="I1" s="356"/>
      <c r="J1" s="356"/>
      <c r="K1" s="355" t="s">
        <v>380</v>
      </c>
      <c r="L1" s="355"/>
      <c r="M1" s="355"/>
      <c r="N1" s="356" t="s">
        <v>381</v>
      </c>
      <c r="O1" s="356"/>
      <c r="P1" s="356"/>
    </row>
    <row r="2" spans="1:16">
      <c r="A2" s="300" t="s">
        <v>382</v>
      </c>
      <c r="B2" s="301" t="s">
        <v>383</v>
      </c>
      <c r="C2" s="302" t="s">
        <v>384</v>
      </c>
      <c r="D2" s="303"/>
      <c r="E2" s="304" t="s">
        <v>382</v>
      </c>
      <c r="F2" s="305" t="s">
        <v>383</v>
      </c>
      <c r="G2" s="306" t="s">
        <v>384</v>
      </c>
      <c r="H2" s="307" t="s">
        <v>382</v>
      </c>
      <c r="I2" s="308" t="s">
        <v>383</v>
      </c>
      <c r="J2" s="309" t="s">
        <v>384</v>
      </c>
      <c r="K2" s="310" t="s">
        <v>382</v>
      </c>
      <c r="L2" s="311" t="s">
        <v>383</v>
      </c>
      <c r="M2" s="312" t="s">
        <v>384</v>
      </c>
      <c r="N2" s="307" t="s">
        <v>382</v>
      </c>
      <c r="O2" s="308" t="s">
        <v>383</v>
      </c>
      <c r="P2" s="309" t="s">
        <v>384</v>
      </c>
    </row>
    <row r="3" spans="1:16">
      <c r="A3" s="313" t="s">
        <v>385</v>
      </c>
      <c r="B3" s="314">
        <v>500000</v>
      </c>
      <c r="C3" s="313" t="s">
        <v>386</v>
      </c>
      <c r="D3" s="315"/>
      <c r="E3" s="316" t="s">
        <v>385</v>
      </c>
      <c r="F3" s="317">
        <v>-300000</v>
      </c>
      <c r="G3" s="316"/>
      <c r="H3" s="318" t="s">
        <v>385</v>
      </c>
      <c r="I3" s="319">
        <v>-300000</v>
      </c>
      <c r="J3" s="318"/>
      <c r="K3" s="320" t="s">
        <v>385</v>
      </c>
      <c r="L3" s="321">
        <v>0</v>
      </c>
      <c r="M3" s="320"/>
      <c r="N3" s="318" t="s">
        <v>385</v>
      </c>
      <c r="O3" s="319">
        <v>-420000</v>
      </c>
      <c r="P3" s="318"/>
    </row>
    <row r="4" spans="1:16">
      <c r="A4" s="313" t="s">
        <v>387</v>
      </c>
      <c r="B4" s="322">
        <v>50000</v>
      </c>
      <c r="C4" s="313"/>
      <c r="D4" s="315"/>
      <c r="E4" s="316" t="s">
        <v>387</v>
      </c>
      <c r="F4" s="323">
        <v>50000</v>
      </c>
      <c r="G4" s="316"/>
      <c r="H4" s="318" t="s">
        <v>387</v>
      </c>
      <c r="I4" s="324">
        <v>50000</v>
      </c>
      <c r="J4" s="318"/>
      <c r="K4" s="320" t="s">
        <v>387</v>
      </c>
      <c r="L4" s="321">
        <v>0</v>
      </c>
      <c r="M4" s="320"/>
      <c r="N4" s="318" t="s">
        <v>387</v>
      </c>
      <c r="O4" s="324">
        <v>45000</v>
      </c>
      <c r="P4" s="318"/>
    </row>
    <row r="5" spans="1:16">
      <c r="A5" s="313" t="s">
        <v>388</v>
      </c>
      <c r="B5" s="322">
        <v>120000</v>
      </c>
      <c r="C5" s="313"/>
      <c r="D5" s="315"/>
      <c r="E5" s="316" t="s">
        <v>388</v>
      </c>
      <c r="F5" s="323">
        <v>90000</v>
      </c>
      <c r="G5" s="316"/>
      <c r="H5" s="318" t="s">
        <v>388</v>
      </c>
      <c r="I5" s="324">
        <v>90000</v>
      </c>
      <c r="J5" s="318"/>
      <c r="K5" s="320" t="s">
        <v>388</v>
      </c>
      <c r="L5" s="321">
        <v>0</v>
      </c>
      <c r="M5" s="320"/>
      <c r="N5" s="318" t="s">
        <v>388</v>
      </c>
      <c r="O5" s="324">
        <v>65000</v>
      </c>
      <c r="P5" s="318"/>
    </row>
    <row r="6" spans="1:16">
      <c r="A6" s="313" t="s">
        <v>389</v>
      </c>
      <c r="B6" s="322">
        <v>50000</v>
      </c>
      <c r="C6" s="313"/>
      <c r="D6" s="315"/>
      <c r="E6" s="316" t="s">
        <v>389</v>
      </c>
      <c r="F6" s="323">
        <v>40000</v>
      </c>
      <c r="G6" s="316"/>
      <c r="H6" s="318" t="s">
        <v>389</v>
      </c>
      <c r="I6" s="324">
        <v>40000</v>
      </c>
      <c r="J6" s="318"/>
      <c r="K6" s="320" t="s">
        <v>389</v>
      </c>
      <c r="L6" s="321">
        <v>0</v>
      </c>
      <c r="M6" s="320"/>
      <c r="N6" s="318" t="s">
        <v>389</v>
      </c>
      <c r="O6" s="324">
        <v>40000</v>
      </c>
      <c r="P6" s="318"/>
    </row>
    <row r="7" spans="1:16">
      <c r="A7" s="302" t="s">
        <v>390</v>
      </c>
      <c r="B7" s="325">
        <f>B3-B4-B5-B6</f>
        <v>280000</v>
      </c>
      <c r="C7" s="313"/>
      <c r="D7" s="315"/>
      <c r="E7" s="306" t="s">
        <v>390</v>
      </c>
      <c r="F7" s="326">
        <f>SUM(F3:F6)</f>
        <v>-120000</v>
      </c>
      <c r="G7" s="316"/>
      <c r="H7" s="309" t="s">
        <v>390</v>
      </c>
      <c r="I7" s="327">
        <f>SUM(I3:I6)</f>
        <v>-120000</v>
      </c>
      <c r="J7" s="318"/>
      <c r="K7" s="312" t="s">
        <v>390</v>
      </c>
      <c r="L7" s="328">
        <f>SUM(L3:L6)</f>
        <v>0</v>
      </c>
      <c r="M7" s="320"/>
      <c r="N7" s="309" t="s">
        <v>390</v>
      </c>
      <c r="O7" s="327">
        <f>SUM(O3:O6)</f>
        <v>-270000</v>
      </c>
      <c r="P7" s="318"/>
    </row>
    <row r="8" spans="1:16">
      <c r="A8" s="302"/>
      <c r="B8" s="325"/>
      <c r="C8" s="313"/>
      <c r="D8" s="315"/>
      <c r="E8" s="306"/>
      <c r="F8" s="326"/>
      <c r="G8" s="316"/>
      <c r="H8" s="309"/>
      <c r="I8" s="327"/>
      <c r="J8" s="318"/>
      <c r="K8" s="30"/>
      <c r="L8" s="30"/>
      <c r="M8" s="30"/>
      <c r="N8" s="309"/>
      <c r="O8" s="327"/>
      <c r="P8" s="318"/>
    </row>
    <row r="9" spans="1:16">
      <c r="A9" s="300" t="s">
        <v>391</v>
      </c>
      <c r="B9" s="301" t="s">
        <v>383</v>
      </c>
      <c r="C9" s="302" t="s">
        <v>384</v>
      </c>
      <c r="D9" s="303"/>
      <c r="E9" s="304" t="s">
        <v>391</v>
      </c>
      <c r="F9" s="305" t="s">
        <v>383</v>
      </c>
      <c r="G9" s="306" t="s">
        <v>384</v>
      </c>
      <c r="H9" s="307" t="s">
        <v>391</v>
      </c>
      <c r="I9" s="308" t="s">
        <v>383</v>
      </c>
      <c r="J9" s="309" t="s">
        <v>384</v>
      </c>
      <c r="K9" s="310" t="s">
        <v>391</v>
      </c>
      <c r="L9" s="311" t="s">
        <v>383</v>
      </c>
      <c r="M9" s="312" t="s">
        <v>384</v>
      </c>
      <c r="N9" s="307" t="s">
        <v>391</v>
      </c>
      <c r="O9" s="308" t="s">
        <v>383</v>
      </c>
      <c r="P9" s="309" t="s">
        <v>384</v>
      </c>
    </row>
    <row r="10" spans="1:16">
      <c r="A10" s="313" t="s">
        <v>385</v>
      </c>
      <c r="B10" s="314">
        <v>130000</v>
      </c>
      <c r="C10" s="313" t="s">
        <v>386</v>
      </c>
      <c r="D10" s="315"/>
      <c r="E10" s="316" t="s">
        <v>385</v>
      </c>
      <c r="F10" s="317">
        <v>-85000</v>
      </c>
      <c r="G10" s="316"/>
      <c r="H10" s="318" t="s">
        <v>385</v>
      </c>
      <c r="I10" s="319">
        <v>-85000</v>
      </c>
      <c r="J10" s="318"/>
      <c r="K10" s="320" t="s">
        <v>385</v>
      </c>
      <c r="L10" s="321">
        <v>-200000</v>
      </c>
      <c r="M10" s="320"/>
      <c r="N10" s="318" t="s">
        <v>385</v>
      </c>
      <c r="O10" s="319">
        <v>-85000</v>
      </c>
      <c r="P10" s="318"/>
    </row>
    <row r="11" spans="1:16">
      <c r="A11" s="313" t="s">
        <v>387</v>
      </c>
      <c r="B11" s="322">
        <v>20000</v>
      </c>
      <c r="C11" s="313"/>
      <c r="D11" s="315"/>
      <c r="E11" s="316" t="s">
        <v>387</v>
      </c>
      <c r="F11" s="323">
        <v>25000</v>
      </c>
      <c r="G11" s="316"/>
      <c r="H11" s="318" t="s">
        <v>387</v>
      </c>
      <c r="I11" s="324">
        <v>25000</v>
      </c>
      <c r="J11" s="318"/>
      <c r="K11" s="320" t="s">
        <v>387</v>
      </c>
      <c r="L11" s="321">
        <v>20000</v>
      </c>
      <c r="M11" s="320"/>
      <c r="N11" s="318" t="s">
        <v>387</v>
      </c>
      <c r="O11" s="324">
        <v>25000</v>
      </c>
      <c r="P11" s="318"/>
    </row>
    <row r="12" spans="1:16">
      <c r="A12" s="313" t="s">
        <v>388</v>
      </c>
      <c r="B12" s="322">
        <v>60000</v>
      </c>
      <c r="C12" s="313"/>
      <c r="D12" s="315"/>
      <c r="E12" s="316" t="s">
        <v>388</v>
      </c>
      <c r="F12" s="323">
        <v>50000</v>
      </c>
      <c r="G12" s="316"/>
      <c r="H12" s="318" t="s">
        <v>388</v>
      </c>
      <c r="I12" s="324">
        <v>50000</v>
      </c>
      <c r="J12" s="318"/>
      <c r="K12" s="320" t="s">
        <v>388</v>
      </c>
      <c r="L12" s="321">
        <v>35000</v>
      </c>
      <c r="M12" s="320"/>
      <c r="N12" s="318" t="s">
        <v>388</v>
      </c>
      <c r="O12" s="324">
        <v>50000</v>
      </c>
      <c r="P12" s="318"/>
    </row>
    <row r="13" spans="1:16">
      <c r="A13" s="313" t="s">
        <v>389</v>
      </c>
      <c r="B13" s="322">
        <v>20000</v>
      </c>
      <c r="C13" s="313"/>
      <c r="D13" s="315"/>
      <c r="E13" s="316" t="s">
        <v>389</v>
      </c>
      <c r="F13" s="323">
        <v>10000</v>
      </c>
      <c r="G13" s="316"/>
      <c r="H13" s="318" t="s">
        <v>389</v>
      </c>
      <c r="I13" s="324">
        <v>10000</v>
      </c>
      <c r="J13" s="318"/>
      <c r="K13" s="320" t="s">
        <v>389</v>
      </c>
      <c r="L13" s="321">
        <v>30000</v>
      </c>
      <c r="M13" s="320"/>
      <c r="N13" s="318" t="s">
        <v>389</v>
      </c>
      <c r="O13" s="324">
        <v>10000</v>
      </c>
      <c r="P13" s="318"/>
    </row>
    <row r="14" spans="1:16">
      <c r="A14" s="302" t="s">
        <v>390</v>
      </c>
      <c r="B14" s="325">
        <f>B10-B11-B13-B12</f>
        <v>30000</v>
      </c>
      <c r="C14" s="313"/>
      <c r="D14" s="315"/>
      <c r="E14" s="306" t="s">
        <v>390</v>
      </c>
      <c r="F14" s="326">
        <f>SUM(F10:F13)</f>
        <v>0</v>
      </c>
      <c r="G14" s="316"/>
      <c r="H14" s="309" t="s">
        <v>390</v>
      </c>
      <c r="I14" s="327">
        <f>SUM(I10:I13)</f>
        <v>0</v>
      </c>
      <c r="J14" s="318"/>
      <c r="K14" s="312" t="s">
        <v>390</v>
      </c>
      <c r="L14" s="328">
        <f>SUM(L10:L13)</f>
        <v>-115000</v>
      </c>
      <c r="M14" s="320"/>
      <c r="N14" s="309" t="s">
        <v>390</v>
      </c>
      <c r="O14" s="327">
        <f>SUM(O10:O13)</f>
        <v>0</v>
      </c>
      <c r="P14" s="318"/>
    </row>
    <row r="15" spans="1:16">
      <c r="A15" s="300"/>
      <c r="B15" s="301"/>
      <c r="C15" s="302"/>
      <c r="D15" s="303"/>
      <c r="E15" s="304"/>
      <c r="F15" s="305"/>
      <c r="G15" s="306"/>
      <c r="H15" s="307"/>
      <c r="I15" s="308"/>
      <c r="J15" s="309"/>
      <c r="K15" s="30"/>
      <c r="L15" s="30"/>
      <c r="M15" s="30"/>
      <c r="N15" s="307"/>
      <c r="O15" s="308"/>
      <c r="P15" s="309"/>
    </row>
    <row r="16" spans="1:16">
      <c r="A16" s="300" t="s">
        <v>392</v>
      </c>
      <c r="B16" s="301" t="s">
        <v>383</v>
      </c>
      <c r="C16" s="302" t="s">
        <v>384</v>
      </c>
      <c r="D16" s="303"/>
      <c r="E16" s="304" t="s">
        <v>392</v>
      </c>
      <c r="F16" s="305" t="s">
        <v>383</v>
      </c>
      <c r="G16" s="306" t="s">
        <v>384</v>
      </c>
      <c r="H16" s="307" t="s">
        <v>392</v>
      </c>
      <c r="I16" s="308" t="s">
        <v>383</v>
      </c>
      <c r="J16" s="309" t="s">
        <v>384</v>
      </c>
      <c r="K16" s="310" t="s">
        <v>392</v>
      </c>
      <c r="L16" s="311" t="s">
        <v>383</v>
      </c>
      <c r="M16" s="312" t="s">
        <v>384</v>
      </c>
      <c r="N16" s="307" t="s">
        <v>392</v>
      </c>
      <c r="O16" s="308" t="s">
        <v>383</v>
      </c>
      <c r="P16" s="309" t="s">
        <v>384</v>
      </c>
    </row>
    <row r="17" spans="1:16">
      <c r="A17" s="313" t="s">
        <v>385</v>
      </c>
      <c r="B17" s="314">
        <v>30000</v>
      </c>
      <c r="C17" s="313" t="s">
        <v>386</v>
      </c>
      <c r="D17" s="315"/>
      <c r="E17" s="316" t="s">
        <v>385</v>
      </c>
      <c r="F17" s="317">
        <v>-33000</v>
      </c>
      <c r="G17" s="316"/>
      <c r="H17" s="318" t="s">
        <v>385</v>
      </c>
      <c r="I17" s="319">
        <v>-33000</v>
      </c>
      <c r="J17" s="318"/>
      <c r="K17" s="320" t="s">
        <v>385</v>
      </c>
      <c r="L17" s="321">
        <v>-50000</v>
      </c>
      <c r="M17" s="320"/>
      <c r="N17" s="318" t="s">
        <v>385</v>
      </c>
      <c r="O17" s="319">
        <v>-33000</v>
      </c>
      <c r="P17" s="318"/>
    </row>
    <row r="18" spans="1:16">
      <c r="A18" s="313" t="s">
        <v>387</v>
      </c>
      <c r="B18" s="314">
        <v>2000</v>
      </c>
      <c r="C18" s="313"/>
      <c r="D18" s="315"/>
      <c r="E18" s="316" t="s">
        <v>387</v>
      </c>
      <c r="F18" s="317">
        <v>500</v>
      </c>
      <c r="G18" s="316" t="s">
        <v>393</v>
      </c>
      <c r="H18" s="318" t="s">
        <v>387</v>
      </c>
      <c r="I18" s="319">
        <v>500</v>
      </c>
      <c r="J18" s="318" t="s">
        <v>393</v>
      </c>
      <c r="K18" s="320" t="s">
        <v>387</v>
      </c>
      <c r="L18" s="321">
        <v>20000</v>
      </c>
      <c r="M18" s="320"/>
      <c r="N18" s="318" t="s">
        <v>387</v>
      </c>
      <c r="O18" s="319">
        <v>500</v>
      </c>
      <c r="P18" s="318" t="s">
        <v>393</v>
      </c>
    </row>
    <row r="19" spans="1:16">
      <c r="A19" s="313" t="s">
        <v>388</v>
      </c>
      <c r="B19" s="314">
        <v>6000</v>
      </c>
      <c r="C19" s="313"/>
      <c r="D19" s="315"/>
      <c r="E19" s="316" t="s">
        <v>388</v>
      </c>
      <c r="F19" s="317">
        <v>5400</v>
      </c>
      <c r="G19" s="316" t="s">
        <v>394</v>
      </c>
      <c r="H19" s="318" t="s">
        <v>388</v>
      </c>
      <c r="I19" s="319">
        <v>5400</v>
      </c>
      <c r="J19" s="318" t="s">
        <v>394</v>
      </c>
      <c r="K19" s="320" t="s">
        <v>388</v>
      </c>
      <c r="L19" s="321">
        <v>5000</v>
      </c>
      <c r="M19" s="320"/>
      <c r="N19" s="318" t="s">
        <v>388</v>
      </c>
      <c r="O19" s="319">
        <v>5400</v>
      </c>
      <c r="P19" s="318" t="s">
        <v>394</v>
      </c>
    </row>
    <row r="20" spans="1:16">
      <c r="A20" s="313" t="s">
        <v>389</v>
      </c>
      <c r="B20" s="314">
        <v>20000</v>
      </c>
      <c r="C20" s="313"/>
      <c r="D20" s="315"/>
      <c r="E20" s="316" t="s">
        <v>389</v>
      </c>
      <c r="F20" s="317">
        <v>20000</v>
      </c>
      <c r="G20" s="316" t="s">
        <v>395</v>
      </c>
      <c r="H20" s="318" t="s">
        <v>389</v>
      </c>
      <c r="I20" s="319">
        <v>20000</v>
      </c>
      <c r="J20" s="318" t="s">
        <v>395</v>
      </c>
      <c r="K20" s="320" t="s">
        <v>389</v>
      </c>
      <c r="L20" s="321">
        <v>15000</v>
      </c>
      <c r="M20" s="320"/>
      <c r="N20" s="318" t="s">
        <v>389</v>
      </c>
      <c r="O20" s="319">
        <v>20000</v>
      </c>
      <c r="P20" s="318" t="s">
        <v>395</v>
      </c>
    </row>
    <row r="21" spans="1:16">
      <c r="A21" s="302" t="s">
        <v>390</v>
      </c>
      <c r="B21" s="325">
        <f>B17-B18-B19-B20</f>
        <v>2000</v>
      </c>
      <c r="C21" s="313"/>
      <c r="D21" s="315"/>
      <c r="E21" s="306" t="s">
        <v>390</v>
      </c>
      <c r="F21" s="326">
        <f>SUM(F17:F20)</f>
        <v>-7100</v>
      </c>
      <c r="G21" s="316"/>
      <c r="H21" s="309" t="s">
        <v>390</v>
      </c>
      <c r="I21" s="327">
        <f>SUM(I17:I20)</f>
        <v>-7100</v>
      </c>
      <c r="J21" s="318"/>
      <c r="K21" s="312" t="s">
        <v>390</v>
      </c>
      <c r="L21" s="328">
        <f>SUM(L17:L20)</f>
        <v>-10000</v>
      </c>
      <c r="M21" s="320"/>
      <c r="N21" s="309" t="s">
        <v>390</v>
      </c>
      <c r="O21" s="327">
        <f>SUM(O17:O20)</f>
        <v>-7100</v>
      </c>
      <c r="P21" s="318"/>
    </row>
    <row r="22" spans="1:16">
      <c r="A22" s="162"/>
      <c r="B22" s="162"/>
      <c r="C22" s="162"/>
      <c r="E22" s="164"/>
      <c r="F22" s="164"/>
      <c r="G22" s="164"/>
      <c r="H22" s="33"/>
      <c r="I22" s="33"/>
      <c r="J22" s="33"/>
      <c r="K22" s="31"/>
      <c r="L22" s="31"/>
      <c r="M22" s="31"/>
      <c r="N22" s="33"/>
      <c r="O22" s="33"/>
      <c r="P22" s="33"/>
    </row>
    <row r="23" spans="1:16">
      <c r="A23" s="162"/>
      <c r="B23" s="162"/>
      <c r="C23" s="162"/>
      <c r="E23" s="164"/>
      <c r="F23" s="164"/>
      <c r="G23" s="164"/>
      <c r="H23" s="33"/>
      <c r="I23" s="33"/>
      <c r="J23" s="33"/>
      <c r="K23" s="31"/>
      <c r="L23" s="31"/>
      <c r="M23" s="31"/>
      <c r="N23" s="33"/>
      <c r="O23" s="33"/>
      <c r="P23" s="33"/>
    </row>
    <row r="24" spans="1:16">
      <c r="A24" s="162" t="s">
        <v>396</v>
      </c>
      <c r="B24" s="163">
        <f>B3+B10+B17</f>
        <v>660000</v>
      </c>
      <c r="C24" s="162"/>
      <c r="E24" s="164" t="s">
        <v>396</v>
      </c>
      <c r="F24" s="165">
        <f>F3+F10+F17</f>
        <v>-418000</v>
      </c>
      <c r="G24" s="164"/>
      <c r="H24" s="33" t="s">
        <v>396</v>
      </c>
      <c r="I24" s="34">
        <f>I3+I10+I17</f>
        <v>-418000</v>
      </c>
      <c r="J24" s="33"/>
      <c r="K24" s="31" t="s">
        <v>396</v>
      </c>
      <c r="L24" s="32">
        <f>L3+L10+L17</f>
        <v>-250000</v>
      </c>
      <c r="M24" s="31"/>
      <c r="N24" s="33" t="s">
        <v>396</v>
      </c>
      <c r="O24" s="34">
        <f>O3+O10+O17</f>
        <v>-538000</v>
      </c>
      <c r="P24" s="33"/>
    </row>
    <row r="25" spans="1:16">
      <c r="A25" s="162" t="s">
        <v>397</v>
      </c>
      <c r="B25" s="163">
        <f>B4+B5+B6+B11+B12+B13+B18+B19+B20</f>
        <v>348000</v>
      </c>
      <c r="C25" s="162"/>
      <c r="E25" s="164" t="s">
        <v>397</v>
      </c>
      <c r="F25" s="165">
        <f>F4+F5+F6+F11+F12+F13+F18+F19+F20</f>
        <v>290900</v>
      </c>
      <c r="G25" s="164"/>
      <c r="H25" s="33" t="s">
        <v>397</v>
      </c>
      <c r="I25" s="34">
        <f>I4+I5+I6+I11+I12+I13+I18+I19+I20</f>
        <v>290900</v>
      </c>
      <c r="J25" s="33"/>
      <c r="K25" s="31" t="s">
        <v>397</v>
      </c>
      <c r="L25" s="32">
        <f>L4+L5+L6+L11+L12+L13+L18+L19+L20</f>
        <v>125000</v>
      </c>
      <c r="M25" s="31"/>
      <c r="N25" s="33" t="s">
        <v>397</v>
      </c>
      <c r="O25" s="34">
        <f>O4+O5+O6+O11+O12+O13+O18+O19+O20</f>
        <v>260900</v>
      </c>
      <c r="P25" s="33"/>
    </row>
    <row r="26" spans="1:16">
      <c r="A26" s="162"/>
      <c r="B26" s="162"/>
      <c r="C26" s="162"/>
      <c r="E26" s="164"/>
      <c r="F26" s="164"/>
      <c r="G26" s="164"/>
      <c r="H26" s="33"/>
      <c r="I26" s="33"/>
      <c r="J26" s="33"/>
      <c r="K26" s="31"/>
      <c r="L26" s="32">
        <f>SUM(O24:O25)</f>
        <v>-277100</v>
      </c>
      <c r="M26" s="31"/>
      <c r="N26" s="33"/>
      <c r="O26" s="33"/>
      <c r="P26" s="33"/>
    </row>
    <row r="27" spans="1:16">
      <c r="F27" s="12"/>
    </row>
  </sheetData>
  <mergeCells count="5">
    <mergeCell ref="K1:M1"/>
    <mergeCell ref="N1:P1"/>
    <mergeCell ref="H1:J1"/>
    <mergeCell ref="E1:G1"/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7266-1834-44C9-AEB4-8CAAED2C9682}">
  <sheetPr>
    <tabColor rgb="FF00B050"/>
  </sheetPr>
  <dimension ref="A1:O50"/>
  <sheetViews>
    <sheetView workbookViewId="0">
      <selection activeCell="C22" sqref="C22"/>
    </sheetView>
  </sheetViews>
  <sheetFormatPr baseColWidth="10" defaultColWidth="11.44140625" defaultRowHeight="13.2"/>
  <cols>
    <col min="1" max="1" width="32.109375" bestFit="1" customWidth="1"/>
    <col min="3" max="3" width="41.44140625" bestFit="1" customWidth="1"/>
    <col min="4" max="4" width="25.44140625" customWidth="1"/>
    <col min="5" max="5" width="30.6640625" bestFit="1" customWidth="1"/>
    <col min="9" max="9" width="25.44140625" bestFit="1" customWidth="1"/>
    <col min="11" max="11" width="30.6640625" bestFit="1" customWidth="1"/>
    <col min="12" max="12" width="7.5546875" bestFit="1" customWidth="1"/>
    <col min="15" max="15" width="25.44140625" bestFit="1" customWidth="1"/>
  </cols>
  <sheetData>
    <row r="1" spans="1:15" ht="18" thickBot="1">
      <c r="A1" s="359" t="s">
        <v>398</v>
      </c>
      <c r="B1" s="359"/>
      <c r="C1" s="359"/>
      <c r="D1" s="155"/>
      <c r="E1" s="365" t="s">
        <v>399</v>
      </c>
      <c r="F1" s="365"/>
      <c r="G1" s="365"/>
      <c r="H1" s="365"/>
      <c r="I1" s="365"/>
      <c r="K1" s="359" t="s">
        <v>400</v>
      </c>
      <c r="L1" s="359"/>
      <c r="M1" s="359"/>
      <c r="N1" s="359"/>
      <c r="O1" s="359"/>
    </row>
    <row r="2" spans="1:15" ht="16.2" thickBot="1">
      <c r="A2" s="360" t="s">
        <v>401</v>
      </c>
      <c r="B2" s="361"/>
      <c r="C2" s="362"/>
      <c r="D2" s="228"/>
      <c r="E2" s="360" t="s">
        <v>402</v>
      </c>
      <c r="F2" s="361"/>
      <c r="G2" s="361"/>
      <c r="H2" s="361"/>
      <c r="I2" s="362"/>
      <c r="K2" s="360" t="s">
        <v>402</v>
      </c>
      <c r="L2" s="361"/>
      <c r="M2" s="361"/>
      <c r="N2" s="361"/>
      <c r="O2" s="362"/>
    </row>
    <row r="3" spans="1:15" ht="13.8" thickBot="1">
      <c r="A3" s="102" t="s">
        <v>403</v>
      </c>
      <c r="B3" s="103" t="s">
        <v>404</v>
      </c>
      <c r="C3" s="104" t="s">
        <v>384</v>
      </c>
      <c r="D3" s="229"/>
      <c r="E3" s="102" t="s">
        <v>403</v>
      </c>
      <c r="F3" s="103" t="s">
        <v>405</v>
      </c>
      <c r="G3" s="103" t="s">
        <v>406</v>
      </c>
      <c r="H3" s="103" t="s">
        <v>383</v>
      </c>
      <c r="I3" s="104" t="s">
        <v>384</v>
      </c>
      <c r="K3" s="102" t="s">
        <v>403</v>
      </c>
      <c r="L3" s="103" t="s">
        <v>405</v>
      </c>
      <c r="M3" s="103" t="s">
        <v>406</v>
      </c>
      <c r="N3" s="103" t="s">
        <v>383</v>
      </c>
      <c r="O3" s="104" t="s">
        <v>384</v>
      </c>
    </row>
    <row r="4" spans="1:15">
      <c r="A4" s="237" t="s">
        <v>407</v>
      </c>
      <c r="B4" s="238">
        <v>67000</v>
      </c>
      <c r="C4" s="239" t="s">
        <v>408</v>
      </c>
      <c r="D4" s="230"/>
      <c r="E4" s="184" t="s">
        <v>409</v>
      </c>
      <c r="F4" s="185">
        <v>236400</v>
      </c>
      <c r="G4" s="186"/>
      <c r="H4" s="187"/>
      <c r="I4" s="188"/>
      <c r="K4" s="237" t="s">
        <v>407</v>
      </c>
      <c r="L4" s="238">
        <f>'[1]Noen grunnlagstall'!B3</f>
        <v>55000</v>
      </c>
      <c r="M4" s="238"/>
      <c r="N4" s="255"/>
      <c r="O4" s="239" t="s">
        <v>410</v>
      </c>
    </row>
    <row r="5" spans="1:15">
      <c r="A5" s="237" t="s">
        <v>411</v>
      </c>
      <c r="B5" s="238">
        <v>67000</v>
      </c>
      <c r="C5" s="239" t="s">
        <v>408</v>
      </c>
      <c r="D5" s="230"/>
      <c r="E5" s="237" t="s">
        <v>412</v>
      </c>
      <c r="F5" s="329">
        <v>177200</v>
      </c>
      <c r="G5" s="330"/>
      <c r="H5" s="331"/>
      <c r="I5" s="332"/>
      <c r="K5" s="237" t="s">
        <v>411</v>
      </c>
      <c r="L5" s="238">
        <f>'[1]Noen grunnlagstall'!C3</f>
        <v>55000</v>
      </c>
      <c r="M5" s="238"/>
      <c r="N5" s="255"/>
      <c r="O5" s="239" t="s">
        <v>410</v>
      </c>
    </row>
    <row r="6" spans="1:15">
      <c r="A6" s="237" t="s">
        <v>413</v>
      </c>
      <c r="B6" s="238">
        <v>0</v>
      </c>
      <c r="C6" s="239"/>
      <c r="D6" s="231"/>
      <c r="E6" s="237" t="s">
        <v>414</v>
      </c>
      <c r="F6" s="329">
        <v>30000</v>
      </c>
      <c r="G6" s="330"/>
      <c r="H6" s="331"/>
      <c r="I6" s="333"/>
      <c r="K6" s="237" t="s">
        <v>413</v>
      </c>
      <c r="L6" s="238">
        <f>'[1]Noen grunnlagstall'!F4</f>
        <v>0</v>
      </c>
      <c r="M6" s="238"/>
      <c r="N6" s="255"/>
      <c r="O6" s="239" t="s">
        <v>415</v>
      </c>
    </row>
    <row r="7" spans="1:15">
      <c r="A7" s="237" t="s">
        <v>416</v>
      </c>
      <c r="B7" s="238">
        <v>250000</v>
      </c>
      <c r="C7" s="239" t="s">
        <v>417</v>
      </c>
      <c r="D7" s="231"/>
      <c r="E7" s="237" t="s">
        <v>418</v>
      </c>
      <c r="F7" s="329">
        <v>30000</v>
      </c>
      <c r="G7" s="330"/>
      <c r="H7" s="331"/>
      <c r="I7" s="333"/>
      <c r="K7" s="334" t="s">
        <v>419</v>
      </c>
      <c r="L7" s="335">
        <f>'[1]Noen grunnlagstall'!B5+'[1]Noen grunnlagstall'!B6+'[1]Noen grunnlagstall'!B7+'[1]Noen grunnlagstall'!B8</f>
        <v>237000</v>
      </c>
      <c r="M7" s="335"/>
      <c r="N7" s="336"/>
      <c r="O7" s="337" t="s">
        <v>420</v>
      </c>
    </row>
    <row r="8" spans="1:15">
      <c r="A8" s="237" t="s">
        <v>421</v>
      </c>
      <c r="B8" s="238">
        <v>250000</v>
      </c>
      <c r="C8" s="239" t="s">
        <v>417</v>
      </c>
      <c r="D8" s="231"/>
      <c r="E8" s="237" t="s">
        <v>422</v>
      </c>
      <c r="F8" s="329">
        <v>48000</v>
      </c>
      <c r="G8" s="330"/>
      <c r="H8" s="331"/>
      <c r="I8" s="333"/>
      <c r="K8" s="334" t="s">
        <v>423</v>
      </c>
      <c r="L8" s="335">
        <f>'[1]Noen grunnlagstall'!C5+'[1]Noen grunnlagstall'!C6+'[1]Noen grunnlagstall'!C7+'[1]Noen grunnlagstall'!C8</f>
        <v>237000</v>
      </c>
      <c r="M8" s="335"/>
      <c r="N8" s="336"/>
      <c r="O8" s="337" t="s">
        <v>420</v>
      </c>
    </row>
    <row r="9" spans="1:15">
      <c r="A9" s="237" t="s">
        <v>424</v>
      </c>
      <c r="B9" s="238">
        <v>46000</v>
      </c>
      <c r="C9" s="239" t="s">
        <v>417</v>
      </c>
      <c r="D9" s="231"/>
      <c r="E9" s="237" t="s">
        <v>425</v>
      </c>
      <c r="F9" s="329">
        <v>48000</v>
      </c>
      <c r="G9" s="330"/>
      <c r="H9" s="331"/>
      <c r="I9" s="333"/>
      <c r="K9" s="334" t="s">
        <v>426</v>
      </c>
      <c r="L9" s="335">
        <f>'[1]Noen grunnlagstall'!D7</f>
        <v>45000</v>
      </c>
      <c r="M9" s="335"/>
      <c r="N9" s="336"/>
      <c r="O9" s="337" t="s">
        <v>420</v>
      </c>
    </row>
    <row r="10" spans="1:15">
      <c r="A10" s="237" t="s">
        <v>427</v>
      </c>
      <c r="B10" s="238">
        <v>40000</v>
      </c>
      <c r="C10" s="239" t="s">
        <v>428</v>
      </c>
      <c r="D10" s="231"/>
      <c r="E10" s="237" t="s">
        <v>429</v>
      </c>
      <c r="F10" s="329">
        <v>48000</v>
      </c>
      <c r="G10" s="330"/>
      <c r="H10" s="331"/>
      <c r="I10" s="333"/>
      <c r="K10" s="237" t="s">
        <v>427</v>
      </c>
      <c r="L10" s="238">
        <f>'[1]Noen grunnlagstall'!F3</f>
        <v>30000</v>
      </c>
      <c r="M10" s="238"/>
      <c r="N10" s="255"/>
      <c r="O10" s="239" t="s">
        <v>430</v>
      </c>
    </row>
    <row r="11" spans="1:15">
      <c r="A11" s="237" t="s">
        <v>431</v>
      </c>
      <c r="B11" s="238">
        <v>40000</v>
      </c>
      <c r="C11" s="239" t="s">
        <v>428</v>
      </c>
      <c r="D11" s="231"/>
      <c r="E11" s="237" t="s">
        <v>432</v>
      </c>
      <c r="F11" s="329">
        <v>48000</v>
      </c>
      <c r="G11" s="330"/>
      <c r="H11" s="331"/>
      <c r="I11" s="333"/>
      <c r="K11" s="237" t="s">
        <v>431</v>
      </c>
      <c r="L11" s="238">
        <f>'[1]Noen grunnlagstall'!G3</f>
        <v>30000</v>
      </c>
      <c r="M11" s="238"/>
      <c r="N11" s="255"/>
      <c r="O11" s="239" t="s">
        <v>430</v>
      </c>
    </row>
    <row r="12" spans="1:15">
      <c r="A12" s="237" t="s">
        <v>433</v>
      </c>
      <c r="B12" s="238">
        <v>40000</v>
      </c>
      <c r="C12" s="239" t="s">
        <v>428</v>
      </c>
      <c r="D12" s="230"/>
      <c r="E12" s="237" t="s">
        <v>413</v>
      </c>
      <c r="F12" s="331">
        <v>0</v>
      </c>
      <c r="G12" s="330"/>
      <c r="H12" s="331"/>
      <c r="I12" s="332"/>
      <c r="K12" s="237" t="s">
        <v>434</v>
      </c>
      <c r="L12" s="238">
        <f>'[1]Noen grunnlagstall'!H9</f>
        <v>70000</v>
      </c>
      <c r="M12" s="238"/>
      <c r="N12" s="255"/>
      <c r="O12" s="239" t="s">
        <v>430</v>
      </c>
    </row>
    <row r="13" spans="1:15" ht="13.8" thickBot="1">
      <c r="A13" s="237" t="s">
        <v>435</v>
      </c>
      <c r="B13" s="238">
        <v>110000</v>
      </c>
      <c r="C13" s="239" t="s">
        <v>436</v>
      </c>
      <c r="D13" s="230"/>
      <c r="E13" s="237" t="s">
        <v>437</v>
      </c>
      <c r="F13" s="329">
        <v>75000</v>
      </c>
      <c r="G13" s="330"/>
      <c r="H13" s="331"/>
      <c r="I13" s="332"/>
      <c r="K13" s="24" t="s">
        <v>438</v>
      </c>
      <c r="L13" s="240">
        <f>'[1]Noen grunnlagstall'!G9</f>
        <v>70000</v>
      </c>
      <c r="M13" s="240"/>
      <c r="N13" s="338"/>
      <c r="O13" s="241" t="s">
        <v>430</v>
      </c>
    </row>
    <row r="14" spans="1:15" ht="13.8" thickBot="1">
      <c r="A14" s="24" t="s">
        <v>439</v>
      </c>
      <c r="B14" s="240">
        <v>110000</v>
      </c>
      <c r="C14" s="241" t="s">
        <v>436</v>
      </c>
      <c r="D14" s="230"/>
      <c r="E14" s="237" t="s">
        <v>440</v>
      </c>
      <c r="F14" s="329">
        <v>57000</v>
      </c>
      <c r="G14" s="330"/>
      <c r="H14" s="331"/>
      <c r="I14" s="332"/>
      <c r="K14" s="105" t="s">
        <v>441</v>
      </c>
      <c r="L14" s="106">
        <f>SUM(L4:L13)</f>
        <v>829000</v>
      </c>
      <c r="M14" s="106"/>
      <c r="N14" s="107"/>
      <c r="O14" s="108"/>
    </row>
    <row r="15" spans="1:15" ht="16.2" thickBot="1">
      <c r="A15" s="105" t="s">
        <v>441</v>
      </c>
      <c r="B15" s="107">
        <f>SUM(B4:B14)</f>
        <v>1020000</v>
      </c>
      <c r="C15" s="108"/>
      <c r="D15" s="230"/>
      <c r="E15" s="237" t="s">
        <v>442</v>
      </c>
      <c r="F15" s="329">
        <v>57000</v>
      </c>
      <c r="G15" s="330"/>
      <c r="H15" s="331"/>
      <c r="I15" s="332"/>
      <c r="K15" s="28" t="s">
        <v>443</v>
      </c>
      <c r="L15" s="13"/>
      <c r="M15" s="13"/>
      <c r="N15" s="13"/>
      <c r="O15" s="7"/>
    </row>
    <row r="16" spans="1:15" ht="16.2" thickBot="1">
      <c r="A16" s="28" t="s">
        <v>443</v>
      </c>
      <c r="B16" s="13"/>
      <c r="C16" s="7"/>
      <c r="D16" s="230"/>
      <c r="E16" s="24" t="s">
        <v>444</v>
      </c>
      <c r="F16" s="339">
        <v>75000</v>
      </c>
      <c r="G16" s="340"/>
      <c r="H16" s="341"/>
      <c r="I16" s="342"/>
      <c r="K16" s="8" t="s">
        <v>445</v>
      </c>
      <c r="L16" s="9">
        <f>'[1]Noen grunnlagstall'!J10</f>
        <v>90000</v>
      </c>
      <c r="M16" s="9"/>
      <c r="N16" s="10"/>
      <c r="O16" s="11"/>
    </row>
    <row r="17" spans="1:15" ht="13.8" thickBot="1">
      <c r="A17" s="8" t="s">
        <v>446</v>
      </c>
      <c r="B17" s="9">
        <v>90000</v>
      </c>
      <c r="C17" s="11"/>
      <c r="D17" s="7"/>
      <c r="E17" s="105" t="s">
        <v>441</v>
      </c>
      <c r="F17" s="189">
        <v>929600</v>
      </c>
      <c r="G17" s="190"/>
      <c r="H17" s="191"/>
      <c r="I17" s="108"/>
      <c r="K17" s="109" t="s">
        <v>447</v>
      </c>
      <c r="L17" s="110">
        <v>50000</v>
      </c>
      <c r="M17" s="147"/>
      <c r="N17" s="111"/>
      <c r="O17" s="148"/>
    </row>
    <row r="18" spans="1:15" ht="15.6">
      <c r="A18" s="109" t="s">
        <v>447</v>
      </c>
      <c r="B18" s="147">
        <v>20000</v>
      </c>
      <c r="C18" s="148" t="s">
        <v>448</v>
      </c>
      <c r="D18" s="7"/>
      <c r="E18" s="232" t="s">
        <v>443</v>
      </c>
      <c r="F18" s="7"/>
      <c r="G18" s="7"/>
      <c r="H18" s="7"/>
      <c r="I18" s="233"/>
      <c r="K18" s="109" t="s">
        <v>449</v>
      </c>
      <c r="L18" s="238">
        <v>0</v>
      </c>
      <c r="M18" s="242"/>
      <c r="N18" s="255"/>
      <c r="O18" s="243"/>
    </row>
    <row r="19" spans="1:15" ht="16.2" thickBot="1">
      <c r="A19" s="109" t="s">
        <v>450</v>
      </c>
      <c r="B19" s="147">
        <v>30000</v>
      </c>
      <c r="C19" s="148"/>
      <c r="D19" s="7"/>
      <c r="E19" s="232"/>
      <c r="F19" s="7"/>
      <c r="G19" s="7"/>
      <c r="H19" s="7"/>
      <c r="I19" s="233"/>
      <c r="K19" s="109"/>
      <c r="L19" s="238"/>
      <c r="M19" s="242"/>
      <c r="N19" s="255"/>
      <c r="O19" s="243"/>
    </row>
    <row r="20" spans="1:15">
      <c r="A20" s="237" t="s">
        <v>451</v>
      </c>
      <c r="B20" s="242">
        <v>0</v>
      </c>
      <c r="C20" s="243"/>
      <c r="D20" s="7"/>
      <c r="E20" s="8" t="s">
        <v>452</v>
      </c>
      <c r="F20" s="185">
        <v>90000</v>
      </c>
      <c r="G20" s="186"/>
      <c r="H20" s="187"/>
      <c r="I20" s="11"/>
      <c r="K20" s="237" t="s">
        <v>451</v>
      </c>
      <c r="L20" s="238">
        <v>30000</v>
      </c>
      <c r="M20" s="242"/>
      <c r="N20" s="255"/>
      <c r="O20" s="243"/>
    </row>
    <row r="21" spans="1:15" ht="13.8" thickBot="1">
      <c r="A21" s="24" t="s">
        <v>453</v>
      </c>
      <c r="B21" s="240"/>
      <c r="C21" s="244"/>
      <c r="D21" s="7"/>
      <c r="E21" s="109" t="s">
        <v>454</v>
      </c>
      <c r="F21" s="192">
        <v>30000</v>
      </c>
      <c r="G21" s="193"/>
      <c r="H21" s="194"/>
      <c r="I21" s="112"/>
      <c r="K21" s="24" t="s">
        <v>453</v>
      </c>
      <c r="L21" s="240">
        <v>61000</v>
      </c>
      <c r="M21" s="240"/>
      <c r="N21" s="338"/>
      <c r="O21" s="244"/>
    </row>
    <row r="22" spans="1:15" ht="13.8" thickBot="1">
      <c r="A22" s="105" t="s">
        <v>455</v>
      </c>
      <c r="B22" s="106">
        <f>SUM(B17:B21)</f>
        <v>140000</v>
      </c>
      <c r="C22" s="108"/>
      <c r="D22" s="7"/>
      <c r="E22" s="109" t="s">
        <v>456</v>
      </c>
      <c r="F22" s="194"/>
      <c r="G22" s="193"/>
      <c r="H22" s="194"/>
      <c r="I22" s="112"/>
      <c r="K22" s="105" t="s">
        <v>455</v>
      </c>
      <c r="L22" s="106">
        <f>SUM(L16:L21)</f>
        <v>231000</v>
      </c>
      <c r="M22" s="106"/>
      <c r="N22" s="107"/>
      <c r="O22" s="108"/>
    </row>
    <row r="23" spans="1:15" ht="13.8" thickBot="1">
      <c r="A23" s="363" t="s">
        <v>457</v>
      </c>
      <c r="B23" s="363"/>
      <c r="C23" s="7"/>
      <c r="D23" s="7"/>
      <c r="E23" s="109" t="s">
        <v>458</v>
      </c>
      <c r="F23" s="194"/>
      <c r="G23" s="193"/>
      <c r="H23" s="194"/>
      <c r="I23" s="112"/>
      <c r="K23" s="363" t="s">
        <v>457</v>
      </c>
      <c r="L23" s="363"/>
      <c r="M23" s="363"/>
      <c r="N23" s="13"/>
      <c r="O23" s="7"/>
    </row>
    <row r="24" spans="1:15">
      <c r="A24" s="8" t="s">
        <v>459</v>
      </c>
      <c r="B24" s="9">
        <v>-1100000</v>
      </c>
      <c r="C24" s="11"/>
      <c r="D24" s="7"/>
      <c r="E24" s="109" t="s">
        <v>460</v>
      </c>
      <c r="F24" s="192">
        <v>10000</v>
      </c>
      <c r="G24" s="193"/>
      <c r="H24" s="194"/>
      <c r="I24" s="112"/>
      <c r="K24" s="8" t="s">
        <v>459</v>
      </c>
      <c r="L24" s="9">
        <v>-800000</v>
      </c>
      <c r="M24" s="9"/>
      <c r="N24" s="10"/>
      <c r="O24" s="11"/>
    </row>
    <row r="25" spans="1:15" ht="13.8" thickBot="1">
      <c r="A25" s="245" t="s">
        <v>461</v>
      </c>
      <c r="B25" s="238">
        <v>-50000</v>
      </c>
      <c r="C25" s="246"/>
      <c r="D25" s="7"/>
      <c r="E25" s="109" t="s">
        <v>462</v>
      </c>
      <c r="F25" s="329">
        <v>0</v>
      </c>
      <c r="G25" s="343"/>
      <c r="H25" s="331"/>
      <c r="I25" s="243"/>
      <c r="K25" s="245" t="s">
        <v>461</v>
      </c>
      <c r="L25" s="238">
        <v>-50000</v>
      </c>
      <c r="M25" s="238"/>
      <c r="N25" s="255"/>
      <c r="O25" s="246"/>
    </row>
    <row r="26" spans="1:15" ht="13.8" thickBot="1">
      <c r="A26" s="105" t="s">
        <v>463</v>
      </c>
      <c r="B26" s="106">
        <f>SUM(B24:B25)</f>
        <v>-1150000</v>
      </c>
      <c r="C26" s="108"/>
      <c r="D26" s="7"/>
      <c r="E26" s="109" t="s">
        <v>464</v>
      </c>
      <c r="F26" s="329">
        <v>20000</v>
      </c>
      <c r="G26" s="343"/>
      <c r="H26" s="331"/>
      <c r="I26" s="243"/>
      <c r="K26" s="105" t="s">
        <v>463</v>
      </c>
      <c r="L26" s="106">
        <f>SUM(L24:L25)</f>
        <v>-850000</v>
      </c>
      <c r="M26" s="106"/>
      <c r="N26" s="107"/>
      <c r="O26" s="108"/>
    </row>
    <row r="27" spans="1:15" ht="16.2" thickBot="1">
      <c r="A27" s="368" t="s">
        <v>465</v>
      </c>
      <c r="B27" s="368"/>
      <c r="C27" s="7"/>
      <c r="D27" s="7"/>
      <c r="E27" s="245" t="s">
        <v>451</v>
      </c>
      <c r="F27" s="331"/>
      <c r="G27" s="343"/>
      <c r="H27" s="331"/>
      <c r="I27" s="243"/>
      <c r="K27" s="364" t="s">
        <v>465</v>
      </c>
      <c r="L27" s="364"/>
      <c r="M27" s="364"/>
      <c r="N27" s="13"/>
      <c r="O27" s="7"/>
    </row>
    <row r="28" spans="1:15" ht="13.8" thickBot="1">
      <c r="A28" s="8" t="str">
        <f>A26</f>
        <v xml:space="preserve">Total økonomisk ramme </v>
      </c>
      <c r="B28" s="9">
        <f>B26</f>
        <v>-1150000</v>
      </c>
      <c r="C28" s="11"/>
      <c r="D28" s="7"/>
      <c r="E28" s="113" t="s">
        <v>453</v>
      </c>
      <c r="F28" s="339">
        <v>30000</v>
      </c>
      <c r="G28" s="340"/>
      <c r="H28" s="341"/>
      <c r="I28" s="244"/>
      <c r="K28" s="8" t="str">
        <f>K26</f>
        <v xml:space="preserve">Total økonomisk ramme </v>
      </c>
      <c r="L28" s="9">
        <f>L26</f>
        <v>-850000</v>
      </c>
      <c r="M28" s="9"/>
      <c r="N28" s="10"/>
      <c r="O28" s="11"/>
    </row>
    <row r="29" spans="1:15" ht="13.8" thickBot="1">
      <c r="A29" s="245" t="s">
        <v>466</v>
      </c>
      <c r="B29" s="238">
        <f>B15</f>
        <v>1020000</v>
      </c>
      <c r="C29" s="246"/>
      <c r="D29" s="7"/>
      <c r="E29" s="105" t="s">
        <v>455</v>
      </c>
      <c r="F29" s="189">
        <v>180000</v>
      </c>
      <c r="G29" s="190"/>
      <c r="H29" s="191"/>
      <c r="I29" s="108"/>
      <c r="K29" s="109" t="s">
        <v>466</v>
      </c>
      <c r="L29" s="110">
        <f>L14</f>
        <v>829000</v>
      </c>
      <c r="M29" s="110"/>
      <c r="N29" s="111"/>
      <c r="O29" s="112"/>
    </row>
    <row r="30" spans="1:15" ht="13.8" thickBot="1">
      <c r="A30" s="113" t="s">
        <v>467</v>
      </c>
      <c r="B30" s="240">
        <f>B22</f>
        <v>140000</v>
      </c>
      <c r="C30" s="244"/>
      <c r="D30" s="7"/>
      <c r="E30" s="366" t="s">
        <v>457</v>
      </c>
      <c r="F30" s="363"/>
      <c r="G30" s="363"/>
      <c r="H30" s="7"/>
      <c r="I30" s="233"/>
      <c r="K30" s="113" t="s">
        <v>467</v>
      </c>
      <c r="L30" s="240">
        <f>L22</f>
        <v>231000</v>
      </c>
      <c r="M30" s="240"/>
      <c r="N30" s="338"/>
      <c r="O30" s="244"/>
    </row>
    <row r="31" spans="1:15" ht="13.8" thickBot="1">
      <c r="A31" s="247" t="s">
        <v>390</v>
      </c>
      <c r="B31" s="248">
        <f>SUM(B28:B30)</f>
        <v>10000</v>
      </c>
      <c r="C31" s="249"/>
      <c r="D31" s="7"/>
      <c r="E31" s="8" t="s">
        <v>459</v>
      </c>
      <c r="F31" s="185">
        <v>1100000</v>
      </c>
      <c r="G31" s="186"/>
      <c r="H31" s="187"/>
      <c r="I31" s="11"/>
      <c r="K31" s="105" t="s">
        <v>390</v>
      </c>
      <c r="L31" s="106">
        <f>SUM(L28:L30)</f>
        <v>210000</v>
      </c>
      <c r="M31" s="106"/>
      <c r="N31" s="107"/>
      <c r="O31" s="108"/>
    </row>
    <row r="32" spans="1:15" ht="13.8" thickBot="1">
      <c r="A32" s="14"/>
      <c r="B32" s="13"/>
      <c r="C32" s="7"/>
      <c r="D32" s="7"/>
      <c r="E32" s="245" t="s">
        <v>468</v>
      </c>
      <c r="F32" s="329">
        <v>50000</v>
      </c>
      <c r="G32" s="330"/>
      <c r="H32" s="331"/>
      <c r="I32" s="246"/>
      <c r="K32" s="14"/>
      <c r="L32" s="13"/>
      <c r="M32" s="13"/>
      <c r="N32" s="142"/>
      <c r="O32" s="7"/>
    </row>
    <row r="33" spans="1:15" ht="13.8" thickBot="1">
      <c r="A33" s="1" t="s">
        <v>469</v>
      </c>
      <c r="B33" s="13"/>
      <c r="C33" s="7"/>
      <c r="D33" s="7"/>
      <c r="E33" s="105" t="s">
        <v>463</v>
      </c>
      <c r="F33" s="189">
        <v>1150000</v>
      </c>
      <c r="G33" s="190"/>
      <c r="H33" s="191"/>
      <c r="I33" s="108"/>
      <c r="K33" s="14"/>
      <c r="L33" s="13"/>
      <c r="M33" s="13"/>
      <c r="N33" s="13"/>
      <c r="O33" s="7"/>
    </row>
    <row r="34" spans="1:15" ht="16.2" thickBot="1">
      <c r="A34" s="8" t="s">
        <v>67</v>
      </c>
      <c r="B34" s="250">
        <f>B4+B7</f>
        <v>317000</v>
      </c>
      <c r="C34" s="11"/>
      <c r="D34" s="7"/>
      <c r="E34" s="367" t="s">
        <v>465</v>
      </c>
      <c r="F34" s="364"/>
      <c r="G34" s="364"/>
      <c r="H34" s="7"/>
      <c r="I34" s="233"/>
      <c r="K34" s="1" t="s">
        <v>469</v>
      </c>
      <c r="L34" s="13"/>
      <c r="M34" s="13"/>
      <c r="N34" s="13"/>
      <c r="O34" s="7"/>
    </row>
    <row r="35" spans="1:15">
      <c r="A35" s="245" t="s">
        <v>66</v>
      </c>
      <c r="B35" s="251">
        <f>B5+B8</f>
        <v>317000</v>
      </c>
      <c r="C35" s="246"/>
      <c r="D35" s="7"/>
      <c r="E35" s="8" t="s">
        <v>463</v>
      </c>
      <c r="F35" s="185">
        <v>1150000</v>
      </c>
      <c r="G35" s="186"/>
      <c r="H35" s="187"/>
      <c r="I35" s="11"/>
      <c r="K35" s="8" t="s">
        <v>67</v>
      </c>
      <c r="L35" s="143">
        <f>'[1]Noen grunnlagstall'!B12</f>
        <v>292000</v>
      </c>
      <c r="M35" s="144"/>
      <c r="N35" s="144"/>
      <c r="O35" s="11"/>
    </row>
    <row r="36" spans="1:15">
      <c r="A36" s="245" t="s">
        <v>68</v>
      </c>
      <c r="B36" s="251">
        <f>B9</f>
        <v>46000</v>
      </c>
      <c r="C36" s="246"/>
      <c r="D36" s="7"/>
      <c r="E36" s="109" t="s">
        <v>466</v>
      </c>
      <c r="F36" s="192">
        <v>929600</v>
      </c>
      <c r="G36" s="193"/>
      <c r="H36" s="194"/>
      <c r="I36" s="112"/>
      <c r="K36" s="245" t="s">
        <v>66</v>
      </c>
      <c r="L36" s="344">
        <f>'[1]Noen grunnlagstall'!C12</f>
        <v>292000</v>
      </c>
      <c r="M36" s="345"/>
      <c r="N36" s="345"/>
      <c r="O36" s="246"/>
    </row>
    <row r="37" spans="1:15" ht="13.8" thickBot="1">
      <c r="A37" s="245" t="s">
        <v>70</v>
      </c>
      <c r="B37" s="251">
        <f>0</f>
        <v>0</v>
      </c>
      <c r="C37" s="246"/>
      <c r="D37" s="7"/>
      <c r="E37" s="113" t="s">
        <v>467</v>
      </c>
      <c r="F37" s="339">
        <v>180000</v>
      </c>
      <c r="G37" s="340"/>
      <c r="H37" s="341"/>
      <c r="I37" s="244"/>
      <c r="K37" s="245" t="s">
        <v>68</v>
      </c>
      <c r="L37" s="344">
        <f>'[1]Noen grunnlagstall'!D12</f>
        <v>45000</v>
      </c>
      <c r="M37" s="345"/>
      <c r="N37" s="345"/>
      <c r="O37" s="246"/>
    </row>
    <row r="38" spans="1:15" ht="13.8" thickBot="1">
      <c r="A38" s="245" t="s">
        <v>470</v>
      </c>
      <c r="B38" s="251">
        <f>B10</f>
        <v>40000</v>
      </c>
      <c r="C38" s="246"/>
      <c r="D38" s="7"/>
      <c r="E38" s="105" t="s">
        <v>390</v>
      </c>
      <c r="F38" s="189">
        <v>15400</v>
      </c>
      <c r="G38" s="190"/>
      <c r="H38" s="191"/>
      <c r="I38" s="108"/>
      <c r="K38" s="245" t="s">
        <v>70</v>
      </c>
      <c r="L38" s="344">
        <f>'[1]Noen grunnlagstall'!E12</f>
        <v>0</v>
      </c>
      <c r="M38" s="345"/>
      <c r="N38" s="345"/>
      <c r="O38" s="246"/>
    </row>
    <row r="39" spans="1:15">
      <c r="A39" s="245" t="s">
        <v>471</v>
      </c>
      <c r="B39" s="251">
        <f>B11</f>
        <v>40000</v>
      </c>
      <c r="C39" s="246"/>
      <c r="D39" s="7"/>
      <c r="E39" s="14"/>
      <c r="F39" s="209"/>
      <c r="G39" s="7"/>
      <c r="H39" s="14"/>
      <c r="I39" s="7"/>
      <c r="K39" s="245" t="s">
        <v>470</v>
      </c>
      <c r="L39" s="344">
        <f>'[1]Noen grunnlagstall'!F12</f>
        <v>30000</v>
      </c>
      <c r="M39" s="345"/>
      <c r="N39" s="345"/>
      <c r="O39" s="246"/>
    </row>
    <row r="40" spans="1:15">
      <c r="A40" s="245" t="s">
        <v>472</v>
      </c>
      <c r="B40" s="251">
        <f>B13</f>
        <v>110000</v>
      </c>
      <c r="C40" s="246"/>
      <c r="D40" s="7"/>
      <c r="E40" s="14"/>
      <c r="F40" s="7"/>
      <c r="G40" s="7"/>
      <c r="H40" s="7"/>
      <c r="I40" s="7"/>
      <c r="K40" s="245" t="s">
        <v>471</v>
      </c>
      <c r="L40" s="344">
        <f>'[1]Noen grunnlagstall'!G12</f>
        <v>100000</v>
      </c>
      <c r="M40" s="345"/>
      <c r="N40" s="345"/>
      <c r="O40" s="246"/>
    </row>
    <row r="41" spans="1:15" ht="13.8" thickBot="1">
      <c r="A41" s="252" t="s">
        <v>473</v>
      </c>
      <c r="B41" s="253">
        <f>B12+B14</f>
        <v>150000</v>
      </c>
      <c r="C41" s="243"/>
      <c r="D41" s="7"/>
      <c r="E41" s="1" t="s">
        <v>474</v>
      </c>
      <c r="F41" s="7"/>
      <c r="G41" s="7"/>
      <c r="H41" s="7"/>
      <c r="I41" s="7"/>
      <c r="K41" s="245" t="s">
        <v>475</v>
      </c>
      <c r="L41" s="344">
        <f>'[1]Noen grunnlagstall'!H12</f>
        <v>70000</v>
      </c>
      <c r="M41" s="345"/>
      <c r="N41" s="345"/>
      <c r="O41" s="246"/>
    </row>
    <row r="42" spans="1:15" ht="13.8" thickBot="1">
      <c r="A42" s="105" t="s">
        <v>476</v>
      </c>
      <c r="B42" s="145">
        <f>SUM(B34:B41)</f>
        <v>1020000</v>
      </c>
      <c r="C42" s="108"/>
      <c r="D42" s="7"/>
      <c r="E42" s="226" t="s">
        <v>67</v>
      </c>
      <c r="F42" s="195">
        <v>284400</v>
      </c>
      <c r="G42" s="144"/>
      <c r="H42" s="144"/>
      <c r="I42" s="11"/>
      <c r="K42" s="113" t="s">
        <v>473</v>
      </c>
      <c r="L42" s="346">
        <f>'[1]Noen grunnlagstall'!J12</f>
        <v>90000</v>
      </c>
      <c r="M42" s="347"/>
      <c r="N42" s="347"/>
      <c r="O42" s="244"/>
    </row>
    <row r="43" spans="1:15" ht="13.8" thickBot="1">
      <c r="A43" s="7"/>
      <c r="B43" s="254"/>
      <c r="C43" s="7"/>
      <c r="D43" s="7"/>
      <c r="E43" s="348" t="s">
        <v>66</v>
      </c>
      <c r="F43" s="349">
        <v>225200</v>
      </c>
      <c r="G43" s="345"/>
      <c r="H43" s="345"/>
      <c r="I43" s="246"/>
      <c r="K43" s="105" t="s">
        <v>476</v>
      </c>
      <c r="L43" s="145">
        <f>SUM(L35:L42)</f>
        <v>919000</v>
      </c>
      <c r="M43" s="146"/>
      <c r="N43" s="146"/>
      <c r="O43" s="108"/>
    </row>
    <row r="44" spans="1:15">
      <c r="A44" s="7"/>
      <c r="B44" s="254"/>
      <c r="C44" s="7"/>
      <c r="D44" s="7"/>
      <c r="E44" s="348" t="s">
        <v>68</v>
      </c>
      <c r="F44" s="349">
        <v>78000</v>
      </c>
      <c r="G44" s="345"/>
      <c r="H44" s="345"/>
      <c r="I44" s="246"/>
    </row>
    <row r="45" spans="1:15">
      <c r="A45" s="7"/>
      <c r="B45" s="254"/>
      <c r="C45" s="7"/>
      <c r="D45" s="7"/>
      <c r="E45" s="348" t="s">
        <v>70</v>
      </c>
      <c r="F45" s="349">
        <v>78000</v>
      </c>
      <c r="G45" s="345"/>
      <c r="H45" s="345"/>
      <c r="I45" s="246"/>
    </row>
    <row r="46" spans="1:15">
      <c r="A46" s="7"/>
      <c r="B46" s="254"/>
      <c r="C46" s="7"/>
      <c r="D46" s="7"/>
      <c r="E46" s="348" t="s">
        <v>470</v>
      </c>
      <c r="F46" s="349">
        <v>75000</v>
      </c>
      <c r="G46" s="345"/>
      <c r="H46" s="345"/>
      <c r="I46" s="246"/>
    </row>
    <row r="47" spans="1:15">
      <c r="A47" s="7"/>
      <c r="B47" s="254"/>
      <c r="C47" s="7"/>
      <c r="D47" s="7"/>
      <c r="E47" s="348" t="s">
        <v>471</v>
      </c>
      <c r="F47" s="349">
        <v>75000</v>
      </c>
      <c r="G47" s="345"/>
      <c r="H47" s="345"/>
      <c r="I47" s="246"/>
    </row>
    <row r="48" spans="1:15">
      <c r="A48" s="7"/>
      <c r="B48" s="254"/>
      <c r="C48" s="7"/>
      <c r="D48" s="7"/>
      <c r="E48" s="348" t="s">
        <v>475</v>
      </c>
      <c r="F48" s="349">
        <v>57000</v>
      </c>
      <c r="G48" s="345"/>
      <c r="H48" s="345"/>
      <c r="I48" s="246"/>
    </row>
    <row r="49" spans="1:9" ht="13.8" thickBot="1">
      <c r="A49" s="7"/>
      <c r="B49" s="254"/>
      <c r="C49" s="7"/>
      <c r="D49" s="7"/>
      <c r="E49" s="227" t="s">
        <v>473</v>
      </c>
      <c r="F49" s="350">
        <v>57000</v>
      </c>
      <c r="G49" s="347"/>
      <c r="H49" s="347"/>
      <c r="I49" s="244"/>
    </row>
    <row r="50" spans="1:9" ht="13.8" thickBot="1">
      <c r="A50" s="14"/>
      <c r="B50" s="254"/>
      <c r="C50" s="7"/>
      <c r="D50" s="7"/>
      <c r="E50" s="225" t="s">
        <v>476</v>
      </c>
      <c r="F50" s="196">
        <v>929600</v>
      </c>
      <c r="G50" s="146"/>
      <c r="H50" s="146"/>
      <c r="I50" s="108"/>
    </row>
  </sheetData>
  <mergeCells count="12">
    <mergeCell ref="A1:C1"/>
    <mergeCell ref="A2:C2"/>
    <mergeCell ref="E30:G30"/>
    <mergeCell ref="E34:G34"/>
    <mergeCell ref="A23:B23"/>
    <mergeCell ref="A27:B27"/>
    <mergeCell ref="K1:O1"/>
    <mergeCell ref="K2:O2"/>
    <mergeCell ref="K23:M23"/>
    <mergeCell ref="K27:M27"/>
    <mergeCell ref="E1:I1"/>
    <mergeCell ref="E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6E41-E2C0-4B4C-B2AF-C3245D80D54B}">
  <sheetPr>
    <tabColor rgb="FF00B050"/>
  </sheetPr>
  <dimension ref="A1:F23"/>
  <sheetViews>
    <sheetView workbookViewId="0">
      <selection activeCell="B3" sqref="B3"/>
    </sheetView>
  </sheetViews>
  <sheetFormatPr baseColWidth="10" defaultColWidth="11.44140625" defaultRowHeight="13.2"/>
  <cols>
    <col min="1" max="1" width="37.6640625" bestFit="1" customWidth="1"/>
    <col min="2" max="2" width="19" customWidth="1"/>
    <col min="3" max="3" width="14.6640625" bestFit="1" customWidth="1"/>
    <col min="5" max="5" width="119.6640625" customWidth="1"/>
  </cols>
  <sheetData>
    <row r="1" spans="1:6" s="256" customFormat="1" ht="18">
      <c r="A1" s="256" t="s">
        <v>477</v>
      </c>
      <c r="B1" s="256">
        <v>2025</v>
      </c>
      <c r="C1" s="256" t="s">
        <v>478</v>
      </c>
      <c r="E1" s="256" t="s">
        <v>479</v>
      </c>
    </row>
    <row r="2" spans="1:6" s="3" customFormat="1" ht="14.4">
      <c r="A2" s="3" t="s">
        <v>480</v>
      </c>
      <c r="B2" s="257">
        <v>645000</v>
      </c>
      <c r="C2" s="257">
        <f>SUM(B2:B2)</f>
        <v>645000</v>
      </c>
    </row>
    <row r="3" spans="1:6" ht="14.4">
      <c r="A3" t="s">
        <v>481</v>
      </c>
      <c r="B3" s="258">
        <v>100000</v>
      </c>
      <c r="C3" s="257">
        <f>SUM(B3:B3)</f>
        <v>100000</v>
      </c>
      <c r="E3" t="s">
        <v>482</v>
      </c>
    </row>
    <row r="4" spans="1:6" ht="14.4">
      <c r="A4" t="s">
        <v>483</v>
      </c>
      <c r="C4" s="257">
        <f>SUM(B4:B4)</f>
        <v>0</v>
      </c>
    </row>
    <row r="5" spans="1:6" ht="14.4">
      <c r="A5" t="s">
        <v>484</v>
      </c>
      <c r="B5" s="258">
        <v>1500000</v>
      </c>
      <c r="C5" s="257">
        <f>SUM(B5:B5)</f>
        <v>1500000</v>
      </c>
      <c r="E5" t="s">
        <v>485</v>
      </c>
    </row>
    <row r="6" spans="1:6" ht="14.4">
      <c r="A6" t="s">
        <v>486</v>
      </c>
      <c r="B6" s="258">
        <v>279189</v>
      </c>
      <c r="C6" s="257"/>
      <c r="E6" t="s">
        <v>485</v>
      </c>
    </row>
    <row r="7" spans="1:6" s="3" customFormat="1" ht="14.4">
      <c r="A7" s="3" t="s">
        <v>487</v>
      </c>
      <c r="B7" s="257">
        <f>SUM(B2:B6)</f>
        <v>2524189</v>
      </c>
      <c r="C7" s="257">
        <f>SUM(C2:C5)</f>
        <v>2245000</v>
      </c>
    </row>
    <row r="9" spans="1:6" s="256" customFormat="1" ht="18">
      <c r="A9" s="256" t="s">
        <v>488</v>
      </c>
      <c r="B9" s="256">
        <v>2025</v>
      </c>
      <c r="C9" s="256" t="s">
        <v>489</v>
      </c>
    </row>
    <row r="10" spans="1:6">
      <c r="A10" t="s">
        <v>490</v>
      </c>
      <c r="B10" s="258">
        <v>1170000</v>
      </c>
      <c r="C10" s="38">
        <f t="shared" ref="C10:C17" si="0">SUM(B10:B10)</f>
        <v>1170000</v>
      </c>
      <c r="E10" t="s">
        <v>491</v>
      </c>
    </row>
    <row r="11" spans="1:6">
      <c r="A11" t="s">
        <v>492</v>
      </c>
      <c r="B11" s="258">
        <v>40000</v>
      </c>
      <c r="C11" s="38">
        <f t="shared" si="0"/>
        <v>40000</v>
      </c>
      <c r="E11" s="23" t="s">
        <v>493</v>
      </c>
    </row>
    <row r="12" spans="1:6">
      <c r="A12" t="s">
        <v>494</v>
      </c>
      <c r="B12" s="258">
        <v>15000</v>
      </c>
      <c r="C12" s="38">
        <f t="shared" si="0"/>
        <v>15000</v>
      </c>
      <c r="E12" t="s">
        <v>495</v>
      </c>
    </row>
    <row r="13" spans="1:6">
      <c r="A13" t="s">
        <v>496</v>
      </c>
      <c r="B13" s="258">
        <v>70000</v>
      </c>
      <c r="C13" s="38">
        <f t="shared" si="0"/>
        <v>70000</v>
      </c>
      <c r="E13" t="s">
        <v>497</v>
      </c>
    </row>
    <row r="14" spans="1:6" ht="27">
      <c r="A14" t="s">
        <v>498</v>
      </c>
      <c r="B14" s="258">
        <v>330000</v>
      </c>
      <c r="C14" s="38">
        <f t="shared" si="0"/>
        <v>330000</v>
      </c>
      <c r="E14" s="23" t="s">
        <v>499</v>
      </c>
      <c r="F14" s="259" t="s">
        <v>500</v>
      </c>
    </row>
    <row r="15" spans="1:6">
      <c r="A15" t="s">
        <v>501</v>
      </c>
      <c r="B15" s="258">
        <v>30000</v>
      </c>
      <c r="C15" s="38">
        <f t="shared" si="0"/>
        <v>30000</v>
      </c>
      <c r="E15" s="260" t="s">
        <v>502</v>
      </c>
    </row>
    <row r="16" spans="1:6">
      <c r="A16" t="s">
        <v>503</v>
      </c>
      <c r="B16" s="261"/>
      <c r="C16" s="38">
        <f t="shared" si="0"/>
        <v>0</v>
      </c>
    </row>
    <row r="17" spans="1:6">
      <c r="A17" t="s">
        <v>504</v>
      </c>
      <c r="B17" s="261"/>
      <c r="C17" s="38">
        <f t="shared" si="0"/>
        <v>0</v>
      </c>
    </row>
    <row r="18" spans="1:6">
      <c r="A18" t="s">
        <v>505</v>
      </c>
      <c r="B18" s="261">
        <v>140000</v>
      </c>
      <c r="C18" s="38"/>
      <c r="E18" t="s">
        <v>506</v>
      </c>
    </row>
    <row r="19" spans="1:6" ht="67.8">
      <c r="A19" t="s">
        <v>507</v>
      </c>
      <c r="B19" s="258">
        <v>450000</v>
      </c>
      <c r="C19" s="38">
        <f>SUM(B19:B19)</f>
        <v>450000</v>
      </c>
      <c r="E19" s="23" t="s">
        <v>508</v>
      </c>
      <c r="F19" s="259" t="s">
        <v>509</v>
      </c>
    </row>
    <row r="20" spans="1:6" ht="14.4">
      <c r="A20" s="262" t="s">
        <v>510</v>
      </c>
      <c r="B20" s="258">
        <v>279189</v>
      </c>
      <c r="C20" s="38">
        <f>SUM(B20:B20)</f>
        <v>279189</v>
      </c>
      <c r="E20" s="23" t="s">
        <v>511</v>
      </c>
    </row>
    <row r="21" spans="1:6" s="3" customFormat="1" ht="14.4">
      <c r="A21" s="3" t="s">
        <v>487</v>
      </c>
      <c r="B21" s="263">
        <f>SUM(B10:B20)</f>
        <v>2524189</v>
      </c>
      <c r="C21" s="264">
        <f>SUM(B21:B21)</f>
        <v>2524189</v>
      </c>
    </row>
    <row r="23" spans="1:6" s="3" customFormat="1" ht="14.4">
      <c r="A23" s="3" t="s">
        <v>390</v>
      </c>
      <c r="B23" s="265">
        <f>B7-B21</f>
        <v>0</v>
      </c>
      <c r="C23" s="265">
        <f>C7-C21</f>
        <v>-279189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N68"/>
  <sheetViews>
    <sheetView workbookViewId="0">
      <selection activeCell="N4" sqref="N4"/>
    </sheetView>
  </sheetViews>
  <sheetFormatPr baseColWidth="10" defaultColWidth="11.44140625" defaultRowHeight="13.2"/>
  <cols>
    <col min="3" max="3" width="12.6640625" bestFit="1" customWidth="1"/>
    <col min="4" max="4" width="14.6640625" style="117" bestFit="1" customWidth="1"/>
    <col min="5" max="12" width="12.33203125" bestFit="1" customWidth="1"/>
    <col min="13" max="13" width="22.6640625" bestFit="1" customWidth="1"/>
    <col min="14" max="14" width="12.33203125" bestFit="1" customWidth="1"/>
  </cols>
  <sheetData>
    <row r="1" spans="1:14">
      <c r="A1" s="218" t="s">
        <v>512</v>
      </c>
      <c r="B1" s="218" t="s">
        <v>513</v>
      </c>
      <c r="C1" s="218" t="s">
        <v>514</v>
      </c>
      <c r="D1" s="219" t="s">
        <v>515</v>
      </c>
      <c r="M1" s="369" t="s">
        <v>516</v>
      </c>
    </row>
    <row r="2" spans="1:14">
      <c r="A2" s="220">
        <v>2024</v>
      </c>
      <c r="B2" s="220">
        <v>10</v>
      </c>
      <c r="C2" s="220">
        <v>215</v>
      </c>
      <c r="D2" s="223">
        <v>479916.5</v>
      </c>
      <c r="E2" s="220"/>
      <c r="F2" s="1" t="s">
        <v>517</v>
      </c>
      <c r="G2" s="1" t="s">
        <v>518</v>
      </c>
      <c r="H2" s="1" t="s">
        <v>519</v>
      </c>
      <c r="I2" s="1" t="s">
        <v>520</v>
      </c>
      <c r="J2" s="1" t="s">
        <v>521</v>
      </c>
      <c r="K2" s="1" t="s">
        <v>522</v>
      </c>
      <c r="L2" s="1" t="s">
        <v>523</v>
      </c>
      <c r="M2" s="369"/>
      <c r="N2" s="1" t="s">
        <v>524</v>
      </c>
    </row>
    <row r="3" spans="1:14">
      <c r="A3" s="220">
        <v>2024</v>
      </c>
      <c r="B3" s="220">
        <v>9</v>
      </c>
      <c r="C3" s="220">
        <v>197</v>
      </c>
      <c r="D3" s="223">
        <v>382077.5</v>
      </c>
      <c r="E3" s="220"/>
      <c r="F3" s="134">
        <f>SUM(D59:D68)</f>
        <v>4077483.5</v>
      </c>
      <c r="G3" s="134">
        <f>SUM(D48:D58)</f>
        <v>2383259</v>
      </c>
      <c r="H3" s="134">
        <f>SUM(D36:D47)</f>
        <v>2500206</v>
      </c>
      <c r="I3" s="134">
        <f>SUM(D24:D35)</f>
        <v>3698914</v>
      </c>
      <c r="J3" s="134">
        <f>SUM(D12:D23)</f>
        <v>3972316</v>
      </c>
      <c r="K3" s="134">
        <f>SUM(D2:D11)</f>
        <v>3318287</v>
      </c>
      <c r="L3" s="134">
        <f>K3+D12+D13</f>
        <v>4051525.5</v>
      </c>
      <c r="M3" s="38">
        <v>140000</v>
      </c>
      <c r="N3" s="134">
        <f>L3-M3</f>
        <v>3911525.5</v>
      </c>
    </row>
    <row r="4" spans="1:14">
      <c r="A4" s="220">
        <v>2024</v>
      </c>
      <c r="B4" s="220">
        <v>8</v>
      </c>
      <c r="C4" s="220">
        <v>133</v>
      </c>
      <c r="D4" s="223">
        <v>219890</v>
      </c>
      <c r="E4" s="220"/>
    </row>
    <row r="5" spans="1:14">
      <c r="A5" s="220">
        <v>2024</v>
      </c>
      <c r="B5" s="220">
        <v>7</v>
      </c>
      <c r="C5" s="220">
        <v>63</v>
      </c>
      <c r="D5" s="223">
        <v>156024</v>
      </c>
      <c r="E5" s="220"/>
    </row>
    <row r="6" spans="1:14">
      <c r="A6" s="220">
        <v>2024</v>
      </c>
      <c r="B6" s="220">
        <v>6</v>
      </c>
      <c r="C6" s="220">
        <v>120</v>
      </c>
      <c r="D6" s="223">
        <v>228818.5</v>
      </c>
      <c r="E6" s="220"/>
    </row>
    <row r="7" spans="1:14">
      <c r="A7" s="220">
        <v>2024</v>
      </c>
      <c r="B7" s="220">
        <v>5</v>
      </c>
      <c r="C7" s="220">
        <v>165</v>
      </c>
      <c r="D7" s="223">
        <v>267031.5</v>
      </c>
      <c r="E7" s="220"/>
    </row>
    <row r="8" spans="1:14">
      <c r="A8" s="220">
        <v>2024</v>
      </c>
      <c r="B8" s="220">
        <v>4</v>
      </c>
      <c r="C8" s="220">
        <v>216</v>
      </c>
      <c r="D8" s="223">
        <v>440883.5</v>
      </c>
      <c r="E8" s="220"/>
    </row>
    <row r="9" spans="1:14">
      <c r="A9" s="220">
        <v>2024</v>
      </c>
      <c r="B9" s="220">
        <v>3</v>
      </c>
      <c r="C9" s="220">
        <v>216</v>
      </c>
      <c r="D9" s="223">
        <v>361605.5</v>
      </c>
      <c r="E9" s="220"/>
    </row>
    <row r="10" spans="1:14">
      <c r="A10" s="220">
        <v>2024</v>
      </c>
      <c r="B10" s="220">
        <v>2</v>
      </c>
      <c r="C10" s="220">
        <v>216</v>
      </c>
      <c r="D10" s="223">
        <v>409716.5</v>
      </c>
      <c r="E10" s="220"/>
    </row>
    <row r="11" spans="1:14">
      <c r="A11" s="220">
        <v>2024</v>
      </c>
      <c r="B11" s="220">
        <v>1</v>
      </c>
      <c r="C11" s="220">
        <v>213</v>
      </c>
      <c r="D11" s="223">
        <v>372323.5</v>
      </c>
      <c r="E11" s="220"/>
    </row>
    <row r="12" spans="1:14">
      <c r="A12" s="220">
        <v>2023</v>
      </c>
      <c r="B12" s="220">
        <v>12</v>
      </c>
      <c r="C12" s="220">
        <v>215</v>
      </c>
      <c r="D12" s="223">
        <v>333332.5</v>
      </c>
      <c r="E12" s="220"/>
    </row>
    <row r="13" spans="1:14">
      <c r="A13" s="220">
        <v>2023</v>
      </c>
      <c r="B13" s="220">
        <v>11</v>
      </c>
      <c r="C13" s="220">
        <v>217</v>
      </c>
      <c r="D13" s="223">
        <v>399906</v>
      </c>
      <c r="E13" s="220"/>
    </row>
    <row r="14" spans="1:14">
      <c r="A14" s="220">
        <v>2023</v>
      </c>
      <c r="B14" s="220">
        <v>10</v>
      </c>
      <c r="C14" s="220">
        <v>214</v>
      </c>
      <c r="D14" s="223">
        <v>442251.5</v>
      </c>
      <c r="E14" s="221"/>
    </row>
    <row r="15" spans="1:14">
      <c r="A15" s="220">
        <v>2023</v>
      </c>
      <c r="B15" s="220">
        <v>9</v>
      </c>
      <c r="C15" s="220">
        <v>206</v>
      </c>
      <c r="D15" s="222">
        <v>349283</v>
      </c>
    </row>
    <row r="16" spans="1:14">
      <c r="A16" s="220">
        <v>2023</v>
      </c>
      <c r="B16" s="220">
        <v>8</v>
      </c>
      <c r="C16" s="220">
        <v>145</v>
      </c>
      <c r="D16" s="222">
        <v>221293</v>
      </c>
    </row>
    <row r="17" spans="1:4">
      <c r="A17" s="220">
        <v>2023</v>
      </c>
      <c r="B17" s="220">
        <v>7</v>
      </c>
      <c r="C17" s="220">
        <v>63</v>
      </c>
      <c r="D17" s="222">
        <v>134844</v>
      </c>
    </row>
    <row r="18" spans="1:4">
      <c r="A18" s="220">
        <v>2023</v>
      </c>
      <c r="B18" s="220">
        <v>6</v>
      </c>
      <c r="C18" s="220">
        <v>116</v>
      </c>
      <c r="D18" s="222">
        <v>211326</v>
      </c>
    </row>
    <row r="19" spans="1:4">
      <c r="A19" s="220">
        <v>2023</v>
      </c>
      <c r="B19" s="220">
        <v>5</v>
      </c>
      <c r="C19" s="220">
        <v>179</v>
      </c>
      <c r="D19" s="222">
        <v>283052</v>
      </c>
    </row>
    <row r="20" spans="1:4">
      <c r="A20" s="220">
        <v>2023</v>
      </c>
      <c r="B20" s="220">
        <v>4</v>
      </c>
      <c r="C20" s="220">
        <v>217</v>
      </c>
      <c r="D20" s="222">
        <v>328721</v>
      </c>
    </row>
    <row r="21" spans="1:4">
      <c r="A21" s="220">
        <v>2023</v>
      </c>
      <c r="B21" s="220">
        <v>3</v>
      </c>
      <c r="C21" s="220">
        <v>223</v>
      </c>
      <c r="D21" s="222">
        <v>438237</v>
      </c>
    </row>
    <row r="22" spans="1:4">
      <c r="A22" s="220">
        <v>2023</v>
      </c>
      <c r="B22" s="220">
        <v>2</v>
      </c>
      <c r="C22" s="220">
        <v>223</v>
      </c>
      <c r="D22" s="222">
        <v>387289</v>
      </c>
    </row>
    <row r="23" spans="1:4">
      <c r="A23" s="220">
        <v>2023</v>
      </c>
      <c r="B23" s="220">
        <v>1</v>
      </c>
      <c r="C23" s="220">
        <v>223</v>
      </c>
      <c r="D23" s="222">
        <v>442781</v>
      </c>
    </row>
    <row r="24" spans="1:4">
      <c r="A24" s="220">
        <v>2022</v>
      </c>
      <c r="B24" s="220">
        <v>12</v>
      </c>
      <c r="C24" s="220">
        <v>213</v>
      </c>
      <c r="D24" s="222">
        <v>363397.5</v>
      </c>
    </row>
    <row r="25" spans="1:4">
      <c r="A25" s="220">
        <v>2022</v>
      </c>
      <c r="B25" s="220">
        <v>11</v>
      </c>
      <c r="C25" s="220">
        <v>217</v>
      </c>
      <c r="D25" s="222">
        <v>411070</v>
      </c>
    </row>
    <row r="26" spans="1:4">
      <c r="A26" s="220">
        <v>2022</v>
      </c>
      <c r="B26" s="220">
        <v>10</v>
      </c>
      <c r="C26" s="220">
        <v>212</v>
      </c>
      <c r="D26" s="222">
        <v>427542</v>
      </c>
    </row>
    <row r="27" spans="1:4">
      <c r="A27" s="220">
        <v>2022</v>
      </c>
      <c r="B27" s="220">
        <v>9</v>
      </c>
      <c r="C27" s="220">
        <v>194</v>
      </c>
      <c r="D27" s="222">
        <v>369312</v>
      </c>
    </row>
    <row r="28" spans="1:4">
      <c r="A28" s="220">
        <v>2022</v>
      </c>
      <c r="B28" s="220">
        <v>8</v>
      </c>
      <c r="C28" s="220">
        <v>139</v>
      </c>
      <c r="D28" s="222">
        <v>239396.5</v>
      </c>
    </row>
    <row r="29" spans="1:4">
      <c r="A29" s="220">
        <v>2022</v>
      </c>
      <c r="B29" s="220">
        <v>7</v>
      </c>
      <c r="C29" s="220">
        <v>60</v>
      </c>
      <c r="D29" s="222">
        <v>131364</v>
      </c>
    </row>
    <row r="30" spans="1:4">
      <c r="A30" s="220">
        <v>2022</v>
      </c>
      <c r="B30" s="220">
        <v>6</v>
      </c>
      <c r="C30" s="220">
        <v>114</v>
      </c>
      <c r="D30" s="222">
        <v>217111</v>
      </c>
    </row>
    <row r="31" spans="1:4">
      <c r="A31" s="220">
        <v>2022</v>
      </c>
      <c r="B31" s="220">
        <v>5</v>
      </c>
      <c r="C31" s="220">
        <v>173</v>
      </c>
      <c r="D31" s="222">
        <v>273006</v>
      </c>
    </row>
    <row r="32" spans="1:4">
      <c r="A32" s="220">
        <v>2022</v>
      </c>
      <c r="B32" s="220">
        <v>4</v>
      </c>
      <c r="C32" s="220">
        <v>220</v>
      </c>
      <c r="D32" s="222">
        <v>277318</v>
      </c>
    </row>
    <row r="33" spans="1:4">
      <c r="A33" s="220">
        <v>2022</v>
      </c>
      <c r="B33" s="220">
        <v>3</v>
      </c>
      <c r="C33" s="220">
        <v>222</v>
      </c>
      <c r="D33" s="222">
        <v>430575</v>
      </c>
    </row>
    <row r="34" spans="1:4">
      <c r="A34" s="220">
        <v>2022</v>
      </c>
      <c r="B34" s="220">
        <v>2</v>
      </c>
      <c r="C34" s="220">
        <v>202</v>
      </c>
      <c r="D34" s="222">
        <v>324135</v>
      </c>
    </row>
    <row r="35" spans="1:4">
      <c r="A35" s="220">
        <v>2022</v>
      </c>
      <c r="B35" s="220">
        <v>1</v>
      </c>
      <c r="C35" s="220">
        <v>136</v>
      </c>
      <c r="D35" s="222">
        <v>234687</v>
      </c>
    </row>
    <row r="36" spans="1:4">
      <c r="A36" s="220">
        <v>2021</v>
      </c>
      <c r="B36" s="220">
        <v>12</v>
      </c>
      <c r="C36" s="220">
        <v>200</v>
      </c>
      <c r="D36" s="222">
        <v>265682</v>
      </c>
    </row>
    <row r="37" spans="1:4">
      <c r="A37" s="220">
        <v>2021</v>
      </c>
      <c r="B37" s="220">
        <v>11</v>
      </c>
      <c r="C37" s="220">
        <v>224</v>
      </c>
      <c r="D37" s="222">
        <v>398346</v>
      </c>
    </row>
    <row r="38" spans="1:4">
      <c r="A38" s="220">
        <v>2021</v>
      </c>
      <c r="B38" s="220">
        <v>10</v>
      </c>
      <c r="C38" s="220">
        <v>223</v>
      </c>
      <c r="D38" s="222">
        <v>374427</v>
      </c>
    </row>
    <row r="39" spans="1:4">
      <c r="A39" s="220">
        <v>2021</v>
      </c>
      <c r="B39" s="220">
        <v>9</v>
      </c>
      <c r="C39" s="220">
        <v>188</v>
      </c>
      <c r="D39" s="222">
        <v>326229</v>
      </c>
    </row>
    <row r="40" spans="1:4">
      <c r="A40" s="220">
        <v>2021</v>
      </c>
      <c r="B40" s="220">
        <v>8</v>
      </c>
      <c r="C40" s="220">
        <v>119</v>
      </c>
      <c r="D40" s="222">
        <v>169103</v>
      </c>
    </row>
    <row r="41" spans="1:4">
      <c r="A41" s="220">
        <v>2021</v>
      </c>
      <c r="B41" s="220">
        <v>7</v>
      </c>
      <c r="C41" s="220">
        <v>53</v>
      </c>
      <c r="D41" s="222">
        <v>89270</v>
      </c>
    </row>
    <row r="42" spans="1:4">
      <c r="A42" s="220">
        <v>2021</v>
      </c>
      <c r="B42" s="220">
        <v>6</v>
      </c>
      <c r="C42" s="220">
        <v>82</v>
      </c>
      <c r="D42" s="222">
        <v>142335</v>
      </c>
    </row>
    <row r="43" spans="1:4">
      <c r="A43" s="220">
        <v>2021</v>
      </c>
      <c r="B43" s="220">
        <v>5</v>
      </c>
      <c r="C43" s="220">
        <v>71</v>
      </c>
      <c r="D43" s="222">
        <v>146002</v>
      </c>
    </row>
    <row r="44" spans="1:4">
      <c r="A44" s="220">
        <v>2021</v>
      </c>
      <c r="B44" s="220">
        <v>4</v>
      </c>
      <c r="C44" s="220">
        <v>63</v>
      </c>
      <c r="D44" s="222">
        <v>164093</v>
      </c>
    </row>
    <row r="45" spans="1:4">
      <c r="A45" s="220">
        <v>2021</v>
      </c>
      <c r="B45" s="220">
        <v>3</v>
      </c>
      <c r="C45" s="220">
        <v>65</v>
      </c>
      <c r="D45" s="222">
        <v>173282</v>
      </c>
    </row>
    <row r="46" spans="1:4">
      <c r="A46" s="220">
        <v>2021</v>
      </c>
      <c r="B46" s="220">
        <v>2</v>
      </c>
      <c r="C46" s="220">
        <v>57</v>
      </c>
      <c r="D46" s="222">
        <v>130528</v>
      </c>
    </row>
    <row r="47" spans="1:4">
      <c r="A47" s="220">
        <v>2021</v>
      </c>
      <c r="B47" s="220">
        <v>1</v>
      </c>
      <c r="C47" s="220">
        <v>53</v>
      </c>
      <c r="D47" s="222">
        <v>120909</v>
      </c>
    </row>
    <row r="48" spans="1:4">
      <c r="A48" s="220">
        <v>2020</v>
      </c>
      <c r="B48" s="220">
        <v>12</v>
      </c>
      <c r="C48" s="220">
        <v>78</v>
      </c>
      <c r="D48" s="222">
        <v>87584</v>
      </c>
    </row>
    <row r="49" spans="1:4">
      <c r="A49" s="220">
        <v>2020</v>
      </c>
      <c r="B49" s="220">
        <v>11</v>
      </c>
      <c r="C49" s="220">
        <v>150</v>
      </c>
      <c r="D49" s="222">
        <v>133906</v>
      </c>
    </row>
    <row r="50" spans="1:4">
      <c r="A50" s="220">
        <v>2020</v>
      </c>
      <c r="B50" s="220">
        <v>10</v>
      </c>
      <c r="C50" s="220">
        <v>192</v>
      </c>
      <c r="D50" s="222">
        <v>296311</v>
      </c>
    </row>
    <row r="51" spans="1:4">
      <c r="A51" s="220">
        <v>2020</v>
      </c>
      <c r="B51" s="220">
        <v>9</v>
      </c>
      <c r="C51" s="220">
        <v>160</v>
      </c>
      <c r="D51" s="222">
        <v>246412</v>
      </c>
    </row>
    <row r="52" spans="1:4">
      <c r="A52" s="220">
        <v>2020</v>
      </c>
      <c r="B52" s="220">
        <v>8</v>
      </c>
      <c r="C52" s="220">
        <v>86</v>
      </c>
      <c r="D52" s="222">
        <v>204050</v>
      </c>
    </row>
    <row r="53" spans="1:4">
      <c r="A53" s="220">
        <v>2020</v>
      </c>
      <c r="B53" s="220">
        <v>6</v>
      </c>
      <c r="C53" s="220">
        <v>60</v>
      </c>
      <c r="D53" s="222">
        <v>109514</v>
      </c>
    </row>
    <row r="54" spans="1:4">
      <c r="A54" s="220">
        <v>2020</v>
      </c>
      <c r="B54" s="220">
        <v>5</v>
      </c>
      <c r="C54" s="220">
        <v>55</v>
      </c>
      <c r="D54" s="222">
        <v>114796</v>
      </c>
    </row>
    <row r="55" spans="1:4">
      <c r="A55" s="220">
        <v>2020</v>
      </c>
      <c r="B55" s="220">
        <v>4</v>
      </c>
      <c r="C55" s="220">
        <v>54</v>
      </c>
      <c r="D55" s="222">
        <v>118994</v>
      </c>
    </row>
    <row r="56" spans="1:4">
      <c r="A56" s="220">
        <v>2020</v>
      </c>
      <c r="B56" s="220">
        <v>3</v>
      </c>
      <c r="C56" s="220">
        <v>237</v>
      </c>
      <c r="D56" s="222">
        <v>219740</v>
      </c>
    </row>
    <row r="57" spans="1:4">
      <c r="A57" s="220">
        <v>2020</v>
      </c>
      <c r="B57" s="220">
        <v>2</v>
      </c>
      <c r="C57" s="220">
        <v>249</v>
      </c>
      <c r="D57" s="222">
        <v>418290</v>
      </c>
    </row>
    <row r="58" spans="1:4">
      <c r="A58" s="220">
        <v>2020</v>
      </c>
      <c r="B58" s="220">
        <v>1</v>
      </c>
      <c r="C58" s="220">
        <v>245</v>
      </c>
      <c r="D58" s="222">
        <v>433662</v>
      </c>
    </row>
    <row r="59" spans="1:4">
      <c r="A59" s="220">
        <v>2019</v>
      </c>
      <c r="B59" s="220">
        <v>12</v>
      </c>
      <c r="C59" s="220">
        <v>245</v>
      </c>
      <c r="D59" s="222">
        <v>422963</v>
      </c>
    </row>
    <row r="60" spans="1:4">
      <c r="A60" s="220">
        <v>2019</v>
      </c>
      <c r="B60" s="220">
        <v>11</v>
      </c>
      <c r="C60" s="220">
        <v>244</v>
      </c>
      <c r="D60" s="222">
        <v>368115</v>
      </c>
    </row>
    <row r="61" spans="1:4">
      <c r="A61" s="220">
        <v>2019</v>
      </c>
      <c r="B61" s="220">
        <v>10</v>
      </c>
      <c r="C61" s="220">
        <v>243</v>
      </c>
      <c r="D61" s="222">
        <v>469190</v>
      </c>
    </row>
    <row r="62" spans="1:4">
      <c r="A62" s="220">
        <v>2019</v>
      </c>
      <c r="B62" s="220">
        <v>9</v>
      </c>
      <c r="C62" s="220">
        <v>229</v>
      </c>
      <c r="D62" s="222">
        <v>362023</v>
      </c>
    </row>
    <row r="63" spans="1:4">
      <c r="A63" s="220">
        <v>2019</v>
      </c>
      <c r="B63" s="220">
        <v>8</v>
      </c>
      <c r="C63" s="220">
        <v>156</v>
      </c>
      <c r="D63" s="222">
        <v>204076</v>
      </c>
    </row>
    <row r="64" spans="1:4">
      <c r="A64" s="220">
        <v>2019</v>
      </c>
      <c r="B64" s="220">
        <v>7</v>
      </c>
      <c r="C64" s="220">
        <v>132</v>
      </c>
      <c r="D64" s="222">
        <v>356729.5</v>
      </c>
    </row>
    <row r="65" spans="1:4">
      <c r="A65" s="220">
        <v>2019</v>
      </c>
      <c r="B65" s="220">
        <v>5</v>
      </c>
      <c r="C65" s="220">
        <v>232</v>
      </c>
      <c r="D65" s="222">
        <v>503432</v>
      </c>
    </row>
    <row r="66" spans="1:4">
      <c r="A66" s="220">
        <v>2019</v>
      </c>
      <c r="B66" s="220">
        <v>4</v>
      </c>
      <c r="C66" s="220">
        <v>253</v>
      </c>
      <c r="D66" s="222">
        <v>576515</v>
      </c>
    </row>
    <row r="67" spans="1:4">
      <c r="A67" s="220">
        <v>2019</v>
      </c>
      <c r="B67" s="220">
        <v>2</v>
      </c>
      <c r="C67" s="220">
        <v>244</v>
      </c>
      <c r="D67" s="222">
        <v>362160</v>
      </c>
    </row>
    <row r="68" spans="1:4">
      <c r="A68" s="220">
        <v>2019</v>
      </c>
      <c r="B68" s="220">
        <v>1</v>
      </c>
      <c r="C68" s="220">
        <v>248</v>
      </c>
      <c r="D68" s="222">
        <v>452280</v>
      </c>
    </row>
  </sheetData>
  <mergeCells count="1">
    <mergeCell ref="M1:M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2FF1-96FE-4C1F-8BEA-2EE1DB0C9D2B}">
  <sheetPr>
    <tabColor rgb="FF00B050"/>
  </sheetPr>
  <dimension ref="A2:D8"/>
  <sheetViews>
    <sheetView workbookViewId="0">
      <selection activeCell="C3" sqref="C3:C5"/>
    </sheetView>
  </sheetViews>
  <sheetFormatPr baseColWidth="10" defaultColWidth="11.44140625" defaultRowHeight="13.2"/>
  <cols>
    <col min="1" max="1" width="25.109375" bestFit="1" customWidth="1"/>
    <col min="2" max="2" width="13.5546875" style="38" bestFit="1" customWidth="1"/>
    <col min="3" max="3" width="13.5546875" bestFit="1" customWidth="1"/>
  </cols>
  <sheetData>
    <row r="2" spans="1:4">
      <c r="A2" s="1" t="s">
        <v>525</v>
      </c>
      <c r="B2" s="269">
        <v>2024</v>
      </c>
      <c r="C2" s="52">
        <v>2025</v>
      </c>
    </row>
    <row r="3" spans="1:4">
      <c r="A3" t="s">
        <v>526</v>
      </c>
      <c r="B3" s="38">
        <v>160800</v>
      </c>
      <c r="C3" s="271">
        <f>B3*(1+$C$8)</f>
        <v>164980.80000000002</v>
      </c>
      <c r="D3" t="s">
        <v>527</v>
      </c>
    </row>
    <row r="4" spans="1:4">
      <c r="A4" t="s">
        <v>528</v>
      </c>
      <c r="B4" s="38">
        <v>14400</v>
      </c>
      <c r="C4" s="271">
        <f t="shared" ref="C4:C6" si="0">B4*(1+$C$8)</f>
        <v>14774.4</v>
      </c>
      <c r="D4" t="s">
        <v>529</v>
      </c>
    </row>
    <row r="5" spans="1:4">
      <c r="A5" t="s">
        <v>530</v>
      </c>
      <c r="B5" s="38">
        <v>248325</v>
      </c>
      <c r="C5" s="271">
        <f t="shared" si="0"/>
        <v>254781.45</v>
      </c>
      <c r="D5" t="s">
        <v>531</v>
      </c>
    </row>
    <row r="6" spans="1:4">
      <c r="A6" s="1" t="s">
        <v>532</v>
      </c>
      <c r="B6" s="119">
        <f>SUM(B3:B5)</f>
        <v>423525</v>
      </c>
      <c r="C6" s="271">
        <f t="shared" si="0"/>
        <v>434536.65</v>
      </c>
    </row>
    <row r="8" spans="1:4">
      <c r="A8" s="2" t="s">
        <v>533</v>
      </c>
      <c r="C8" s="270">
        <v>2.5999999999999999E-2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E097999ED164B93C6B295E6C0BF35" ma:contentTypeVersion="18" ma:contentTypeDescription="Opprett et nytt dokument." ma:contentTypeScope="" ma:versionID="984ecba7258c3bb76b19220dff48a7d7">
  <xsd:schema xmlns:xsd="http://www.w3.org/2001/XMLSchema" xmlns:xs="http://www.w3.org/2001/XMLSchema" xmlns:p="http://schemas.microsoft.com/office/2006/metadata/properties" xmlns:ns2="ba46bb66-fa50-49b9-8412-8febb6e11332" xmlns:ns3="e036ca3f-ecbf-4189-b30d-72b670c8beab" targetNamespace="http://schemas.microsoft.com/office/2006/metadata/properties" ma:root="true" ma:fieldsID="504e409cfb7516824c4bb27e095d9edd" ns2:_="" ns3:_="">
    <xsd:import namespace="ba46bb66-fa50-49b9-8412-8febb6e11332"/>
    <xsd:import namespace="e036ca3f-ecbf-4189-b30d-72b670c8b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bb66-fa50-49b9-8412-8febb6e11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244e3e5-3780-4ead-8e38-625ea6d11d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ca3f-ecbf-4189-b30d-72b670c8b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38d326-9447-4264-98fc-34df5ad9a74a}" ma:internalName="TaxCatchAll" ma:showField="CatchAllData" ma:web="e036ca3f-ecbf-4189-b30d-72b670c8b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6ca3f-ecbf-4189-b30d-72b670c8beab" xsi:nil="true"/>
    <lcf76f155ced4ddcb4097134ff3c332f xmlns="ba46bb66-fa50-49b9-8412-8febb6e113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F8BA00-E074-417C-9105-5DF605F46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6bb66-fa50-49b9-8412-8febb6e11332"/>
    <ds:schemaRef ds:uri="e036ca3f-ecbf-4189-b30d-72b670c8b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B7BC91-5289-48C5-B295-18AEBBF36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32E02-B998-41C2-8BAC-4116DE595061}">
  <ds:schemaRefs>
    <ds:schemaRef ds:uri="http://schemas.microsoft.com/office/2006/metadata/properties"/>
    <ds:schemaRef ds:uri="http://schemas.microsoft.com/office/infopath/2007/PartnerControls"/>
    <ds:schemaRef ds:uri="e036ca3f-ecbf-4189-b30d-72b670c8beab"/>
    <ds:schemaRef ds:uri="ba46bb66-fa50-49b9-8412-8febb6e113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Navngitte områder</vt:lpstr>
      </vt:variant>
      <vt:variant>
        <vt:i4>1</vt:i4>
      </vt:variant>
    </vt:vector>
  </HeadingPairs>
  <TitlesOfParts>
    <vt:vector size="15" baseType="lpstr">
      <vt:lpstr>Budsjett 2025</vt:lpstr>
      <vt:lpstr>Turneringer</vt:lpstr>
      <vt:lpstr>Festivalen</vt:lpstr>
      <vt:lpstr>Rekruttering 2025</vt:lpstr>
      <vt:lpstr>BfA</vt:lpstr>
      <vt:lpstr>Internasjonalt2025</vt:lpstr>
      <vt:lpstr>Norsk Skolebridge 25</vt:lpstr>
      <vt:lpstr>Serviceavgift</vt:lpstr>
      <vt:lpstr>IT</vt:lpstr>
      <vt:lpstr>Lønnsberegning</vt:lpstr>
      <vt:lpstr>Barne- og ungdomsaktiviteter</vt:lpstr>
      <vt:lpstr>Rekruttering 2024</vt:lpstr>
      <vt:lpstr>Norsk Skolebridge 23-24</vt:lpstr>
      <vt:lpstr>Rekruttering2023</vt:lpstr>
      <vt:lpstr>'Budsjett 2025'!Utskriftsområde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Kvangraven</dc:creator>
  <cp:keywords/>
  <dc:description/>
  <cp:lastModifiedBy>Allan Livgård</cp:lastModifiedBy>
  <cp:revision/>
  <dcterms:created xsi:type="dcterms:W3CDTF">2006-10-31T15:04:07Z</dcterms:created>
  <dcterms:modified xsi:type="dcterms:W3CDTF">2025-09-04T12:59:34Z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0x010100CDAE097999ED164B93C6B295E6C0BF35</vt:lpwstr>
  </property>
  <property fmtid="{D5CDD505-2E9C-101B-9397-08002B2CF9AE}" pid="3" name="MediaServiceImageTags">
    <vt:lpwstr/>
  </property>
</Properties>
</file>