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n Pran\Documents\Bridge\NBF Østfold og Follo\2018\"/>
    </mc:Choice>
  </mc:AlternateContent>
  <xr:revisionPtr revIDLastSave="0" documentId="13_ncr:1_{F3D09876-E395-4A87-805C-16E342E93993}" xr6:coauthVersionLast="40" xr6:coauthVersionMax="40" xr10:uidLastSave="{00000000-0000-0000-0000-000000000000}"/>
  <bookViews>
    <workbookView xWindow="9600" yWindow="1050" windowWidth="17760" windowHeight="14955" xr2:uid="{71BD3255-5FD7-497E-A2F1-F3595EBEB14D}"/>
  </bookViews>
  <sheets>
    <sheet name="Resultat" sheetId="1" r:id="rId1"/>
  </sheets>
  <externalReferences>
    <externalReference r:id="rId2"/>
  </externalReferences>
  <definedNames>
    <definedName name="_Regnskapsår">2018</definedName>
    <definedName name="B_1200">[1]Eiendeler!$AO$6</definedName>
    <definedName name="B_1500">[1]Kunder!$BA$6</definedName>
    <definedName name="B_1910">[1]Finanser!$C$6</definedName>
    <definedName name="B_1920">[1]Finanser!$E$6</definedName>
    <definedName name="B_1930">[1]Finanser!$G$6</definedName>
    <definedName name="B_2400">[1]Leverandører!$CE$6</definedName>
    <definedName name="B_2960">[1]Finanser!$J$6</definedName>
    <definedName name="D_6221">[1]Utgifter!$E$6</definedName>
    <definedName name="D_6222">[1]Utgifter!$G$6</definedName>
    <definedName name="D_6223">[1]Utgifter!$I$6</definedName>
    <definedName name="D_6224">[1]Utgifter!$K$6</definedName>
    <definedName name="D_6225">[1]Utgifter!$M$6</definedName>
    <definedName name="D_6226">[1]Utgifter!$O$6</definedName>
    <definedName name="D_6229">[1]Utgifter!$Q$6</definedName>
    <definedName name="D_6241">[1]Utgifter!$S$6</definedName>
    <definedName name="D_6242">[1]Utgifter!$U$6</definedName>
    <definedName name="D_6243">[1]Utgifter!$W$6</definedName>
    <definedName name="D_6244">[1]Utgifter!$Y$6</definedName>
    <definedName name="D_6245">[1]Utgifter!$AA$6</definedName>
    <definedName name="D_6246">[1]Utgifter!$AC$6</definedName>
    <definedName name="D_6249">[1]Utgifter!$AE$6</definedName>
    <definedName name="D_6261">[1]Utgifter!$AG$6</definedName>
    <definedName name="D_6262">[1]Utgifter!$AI$6</definedName>
    <definedName name="D_6263">[1]Utgifter!$AK$6</definedName>
    <definedName name="D_6264">[1]Utgifter!$AM$6</definedName>
    <definedName name="D_6265">[1]Utgifter!$AO$6</definedName>
    <definedName name="D_6266">[1]Utgifter!$AQ$6</definedName>
    <definedName name="D_6269">[1]Utgifter!$AS$6</definedName>
    <definedName name="D_6285">[1]Utgifter!$AU$6</definedName>
    <definedName name="D_6301">[1]Utgifter!$AW$6</definedName>
    <definedName name="D_6302">[1]Utgifter!$AY$6</definedName>
    <definedName name="D_6303">[1]Utgifter!$BA$6</definedName>
    <definedName name="D_6304">[1]Utgifter!$BC$6</definedName>
    <definedName name="D_6305">[1]Utgifter!$BE$6</definedName>
    <definedName name="D_6306">[1]Utgifter!$BG$6</definedName>
    <definedName name="D_6309">[1]Utgifter!$BI$6</definedName>
    <definedName name="K_3221">[1]Inntekter!$J$6</definedName>
    <definedName name="K_3222">[1]Inntekter!$L$6</definedName>
    <definedName name="K_3223">[1]Inntekter!$N$6</definedName>
    <definedName name="K_3224">[1]Inntekter!$P$6</definedName>
    <definedName name="K_3225">[1]Inntekter!$R$6</definedName>
    <definedName name="K_3226">[1]Inntekter!$T$6</definedName>
    <definedName name="K_3229">[1]Inntekter!$V$6</definedName>
    <definedName name="K_3241">[1]Inntekter!$X$6</definedName>
    <definedName name="K_3242">[1]Inntekter!$Z$6</definedName>
    <definedName name="K_3243">[1]Inntekter!$AB$6</definedName>
    <definedName name="K_3244">[1]Inntekter!$AD$6</definedName>
    <definedName name="K_3245">[1]Inntekter!$AF$6</definedName>
    <definedName name="K_3246">[1]Inntekter!$AH$6</definedName>
    <definedName name="K_3249">[1]Inntekter!$AJ$6</definedName>
    <definedName name="Konto_S_Plan">[1]Kontoplan!$D$2:$E$13</definedName>
    <definedName name="KontoPlan">[1]Kontoplan!$A$2:$B$152</definedName>
    <definedName name="M_1250">[1]Eiendeler!$C$6</definedName>
    <definedName name="M_1251">[1]Eiendeler!$E$6</definedName>
    <definedName name="M_1252">[1]Eiendeler!$G$6</definedName>
    <definedName name="M_1253">[1]Eiendeler!$I$6</definedName>
    <definedName name="M_1254">[1]Eiendeler!$K$6</definedName>
    <definedName name="M_1255">[1]Eiendeler!$M$6</definedName>
    <definedName name="M_1256">[1]Eiendeler!$O$6</definedName>
    <definedName name="M_1257">[1]Eiendeler!$Q$6</definedName>
    <definedName name="M_1258">[1]Eiendeler!$S$6</definedName>
    <definedName name="M_1259">[1]Eiendeler!$U$6</definedName>
    <definedName name="M_1260">[1]Eiendeler!$W$6</definedName>
    <definedName name="M_1261">[1]Eiendeler!$Y$6</definedName>
    <definedName name="M_1262">[1]Eiendeler!$AA$6</definedName>
    <definedName name="M_1280">[1]Eiendeler!$AC$6</definedName>
    <definedName name="M_1281">[1]Eiendeler!$AE$6</definedName>
    <definedName name="M_1282">[1]Eiendeler!$AG$6</definedName>
    <definedName name="M_1283">[1]Eiendeler!$AI$6</definedName>
    <definedName name="M_1284">[1]Eiendeler!$AK$6</definedName>
    <definedName name="M_1460">[1]Eiendeler!$AM$6</definedName>
    <definedName name="R_3100">[1]Inntekter!$D$6</definedName>
    <definedName name="R_3200">[1]Inntekter!$F$6</definedName>
    <definedName name="R_3210">[1]Inntekter!$H$6</definedName>
    <definedName name="R_3250">[1]Inntekter!$AL$6</definedName>
    <definedName name="R_3260">[1]Inntekter!$AN$6</definedName>
    <definedName name="R_3410">[1]Inntekter!$AP$6</definedName>
    <definedName name="R_3430">[1]Inntekter!$AR$6</definedName>
    <definedName name="R_3790">[1]Inntekter!$AT$6</definedName>
    <definedName name="R_4200">[1]Utgifter!$C$6</definedName>
    <definedName name="R_6420">[1]Utgifter!$BK$6</definedName>
    <definedName name="R_6560">[1]Utgifter!$BM$6</definedName>
    <definedName name="R_6860">[1]Utgifter!$BO$6</definedName>
    <definedName name="R_6940">[1]Utgifter!$BQ$6</definedName>
    <definedName name="R_7140">[1]Utgifter!$BS$6</definedName>
    <definedName name="R_7420">[1]Utgifter!$BU$6</definedName>
    <definedName name="R_7711">[1]Utgifter!$BW$6</definedName>
    <definedName name="R_7720">[1]Utgifter!$BY$6</definedName>
    <definedName name="R_7770">[1]Utgifter!$CA$6</definedName>
    <definedName name="R_7790">[1]Utgifter!$CC$6</definedName>
    <definedName name="R_8051">[1]Inntekter!$AV$6</definedName>
    <definedName name="S_3220">SUM(X_3220)</definedName>
    <definedName name="S_3240">SUM(X_3240)</definedName>
    <definedName name="S_6220">SUM(X_6220)</definedName>
    <definedName name="S_6240">SUM(X_6240)</definedName>
    <definedName name="S_6260">SUM(X_6260)</definedName>
    <definedName name="S_6300">SUM(X_6300)</definedName>
    <definedName name="S_8800">S_Inntekt-S_Utgift</definedName>
    <definedName name="S_Inntekt">SUM(X_Inntekt)</definedName>
    <definedName name="S_Utgift">SUM(X_Utgift)</definedName>
    <definedName name="X_3220">[1]Inntekter!$I$6:$V$6</definedName>
    <definedName name="X_3240">[1]Inntekter!$W$6:$AJ$6</definedName>
    <definedName name="X_6220">[1]Utgifter!$E$6:$R$6</definedName>
    <definedName name="X_6240">[1]Utgifter!$S$6:$AF$6</definedName>
    <definedName name="X_6260">[1]Utgifter!$AG$6:$AT$6</definedName>
    <definedName name="X_6300">[1]Utgifter!$AW$6:$BJ$6</definedName>
    <definedName name="X_Inntekt">Resultat!$E$5:$E$15</definedName>
    <definedName name="X_Utgift">Resultat!$E$18:$E$33</definedName>
    <definedName name="Z_2050">[1]Balanse!$C$14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F34" i="1"/>
  <c r="D34" i="1"/>
  <c r="C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E34" i="1" s="1"/>
  <c r="B18" i="1"/>
  <c r="F16" i="1"/>
  <c r="E16" i="1"/>
  <c r="D16" i="1"/>
  <c r="D36" i="1" s="1"/>
  <c r="C16" i="1"/>
  <c r="C36" i="1" s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E36" i="1" s="1"/>
  <c r="B5" i="1"/>
  <c r="F3" i="1"/>
  <c r="E3" i="1"/>
  <c r="D3" i="1"/>
  <c r="C3" i="1"/>
  <c r="F36" i="1" l="1"/>
</calcChain>
</file>

<file path=xl/sharedStrings.xml><?xml version="1.0" encoding="utf-8"?>
<sst xmlns="http://schemas.openxmlformats.org/spreadsheetml/2006/main" count="18" uniqueCount="8">
  <si>
    <t xml:space="preserve">Resultatregnskap for Østfold og Follo bridgekrets </t>
  </si>
  <si>
    <t>Resultat</t>
  </si>
  <si>
    <t>Budsjett</t>
  </si>
  <si>
    <t>Driftsinntekter</t>
  </si>
  <si>
    <t xml:space="preserve"> </t>
  </si>
  <si>
    <t>Sum driftsinntekter</t>
  </si>
  <si>
    <t>Driftsutgifter</t>
  </si>
  <si>
    <t>Sum driftsutgifter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</si>
</sst>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_ ;\-0\ "/>
    <numFmt numFmtId="166" formatCode="#,##0_ ;\-#,##0\ "/>
  </numFmts>
  <fonts count="6" x14ac:knownFonts="1"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Verdana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1" fillId="0" borderId="1" xfId="0" applyFont="1" applyBorder="1" applyAlignment="1" applyProtection="1">
      <alignment horizontal="center"/>
      <protection locked="0"/>
    </xf>
    <xf numFmtId="164" fontId="1" fillId="0" borderId="2" xfId="0" applyFont="1" applyBorder="1" applyAlignment="1" applyProtection="1">
      <alignment horizontal="center"/>
      <protection locked="0"/>
    </xf>
    <xf numFmtId="164" fontId="1" fillId="0" borderId="3" xfId="0" applyFont="1" applyBorder="1" applyAlignment="1" applyProtection="1">
      <alignment horizontal="center"/>
      <protection locked="0"/>
    </xf>
    <xf numFmtId="164" fontId="0" fillId="0" borderId="0" xfId="0" applyProtection="1">
      <protection locked="0"/>
    </xf>
    <xf numFmtId="165" fontId="2" fillId="0" borderId="1" xfId="0" applyNumberFormat="1" applyFont="1" applyBorder="1" applyProtection="1">
      <protection locked="0"/>
    </xf>
    <xf numFmtId="164" fontId="3" fillId="0" borderId="2" xfId="0" applyFont="1" applyBorder="1" applyProtection="1">
      <protection locked="0"/>
    </xf>
    <xf numFmtId="164" fontId="2" fillId="2" borderId="4" xfId="0" applyFont="1" applyFill="1" applyBorder="1" applyAlignment="1" applyProtection="1">
      <alignment horizontal="center"/>
      <protection locked="0"/>
    </xf>
    <xf numFmtId="164" fontId="2" fillId="0" borderId="5" xfId="0" applyFont="1" applyBorder="1" applyAlignment="1" applyProtection="1">
      <alignment horizontal="center"/>
      <protection locked="0"/>
    </xf>
    <xf numFmtId="164" fontId="2" fillId="0" borderId="6" xfId="0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165" fontId="2" fillId="2" borderId="9" xfId="0" applyNumberFormat="1" applyFont="1" applyFill="1" applyBorder="1" applyAlignment="1" applyProtection="1">
      <alignment horizontal="center"/>
      <protection locked="0"/>
    </xf>
    <xf numFmtId="165" fontId="2" fillId="0" borderId="10" xfId="0" applyNumberFormat="1" applyFont="1" applyBorder="1" applyAlignment="1" applyProtection="1">
      <alignment horizontal="center"/>
      <protection locked="0"/>
    </xf>
    <xf numFmtId="165" fontId="2" fillId="0" borderId="11" xfId="0" applyNumberFormat="1" applyFont="1" applyBorder="1" applyAlignment="1" applyProtection="1">
      <alignment horizontal="center"/>
      <protection locked="0"/>
    </xf>
    <xf numFmtId="165" fontId="2" fillId="0" borderId="12" xfId="0" applyNumberFormat="1" applyFont="1" applyBorder="1" applyProtection="1">
      <protection locked="0"/>
    </xf>
    <xf numFmtId="164" fontId="3" fillId="0" borderId="13" xfId="0" applyFont="1" applyBorder="1" applyAlignment="1" applyProtection="1">
      <alignment horizontal="center"/>
      <protection locked="0"/>
    </xf>
    <xf numFmtId="164" fontId="3" fillId="2" borderId="13" xfId="0" applyFont="1" applyFill="1" applyBorder="1" applyProtection="1">
      <protection locked="0"/>
    </xf>
    <xf numFmtId="164" fontId="3" fillId="0" borderId="14" xfId="0" applyFont="1" applyBorder="1" applyProtection="1">
      <protection locked="0"/>
    </xf>
    <xf numFmtId="164" fontId="3" fillId="0" borderId="15" xfId="0" applyFont="1" applyBorder="1" applyProtection="1">
      <protection locked="0"/>
    </xf>
    <xf numFmtId="165" fontId="2" fillId="0" borderId="16" xfId="0" applyNumberFormat="1" applyFont="1" applyBorder="1" applyAlignment="1" applyProtection="1">
      <alignment horizontal="left"/>
      <protection locked="0"/>
    </xf>
    <xf numFmtId="164" fontId="3" fillId="0" borderId="0" xfId="0" applyFont="1" applyProtection="1">
      <protection locked="0"/>
    </xf>
    <xf numFmtId="164" fontId="3" fillId="2" borderId="15" xfId="0" applyFont="1" applyFill="1" applyBorder="1"/>
    <xf numFmtId="164" fontId="3" fillId="0" borderId="17" xfId="0" applyFont="1" applyBorder="1" applyProtection="1">
      <protection locked="0"/>
    </xf>
    <xf numFmtId="164" fontId="3" fillId="0" borderId="18" xfId="0" applyFont="1" applyBorder="1"/>
    <xf numFmtId="165" fontId="0" fillId="0" borderId="0" xfId="0" applyNumberFormat="1" applyProtection="1">
      <protection locked="0"/>
    </xf>
    <xf numFmtId="164" fontId="3" fillId="2" borderId="19" xfId="0" applyFont="1" applyFill="1" applyBorder="1"/>
    <xf numFmtId="164" fontId="3" fillId="0" borderId="10" xfId="0" applyFont="1" applyBorder="1" applyProtection="1">
      <protection locked="0"/>
    </xf>
    <xf numFmtId="164" fontId="3" fillId="0" borderId="20" xfId="0" applyFont="1" applyBorder="1"/>
    <xf numFmtId="164" fontId="3" fillId="0" borderId="21" xfId="0" applyFont="1" applyBorder="1"/>
    <xf numFmtId="165" fontId="2" fillId="0" borderId="22" xfId="0" applyNumberFormat="1" applyFont="1" applyBorder="1" applyAlignment="1" applyProtection="1">
      <alignment horizontal="left"/>
      <protection locked="0"/>
    </xf>
    <xf numFmtId="165" fontId="2" fillId="0" borderId="23" xfId="0" applyNumberFormat="1" applyFont="1" applyBorder="1" applyAlignment="1" applyProtection="1">
      <alignment horizontal="left"/>
      <protection locked="0"/>
    </xf>
    <xf numFmtId="164" fontId="2" fillId="2" borderId="24" xfId="0" applyFont="1" applyFill="1" applyBorder="1"/>
    <xf numFmtId="164" fontId="2" fillId="0" borderId="25" xfId="0" applyFont="1" applyBorder="1" applyProtection="1">
      <protection locked="0"/>
    </xf>
    <xf numFmtId="164" fontId="2" fillId="0" borderId="26" xfId="0" applyFont="1" applyBorder="1"/>
    <xf numFmtId="164" fontId="0" fillId="0" borderId="0" xfId="0" quotePrefix="1" applyProtection="1">
      <protection locked="0"/>
    </xf>
    <xf numFmtId="165" fontId="2" fillId="0" borderId="7" xfId="0" applyNumberFormat="1" applyFont="1" applyBorder="1" applyProtection="1">
      <protection locked="0"/>
    </xf>
    <xf numFmtId="164" fontId="3" fillId="0" borderId="9" xfId="0" applyFont="1" applyBorder="1" applyAlignment="1" applyProtection="1">
      <alignment horizontal="center"/>
      <protection locked="0"/>
    </xf>
    <xf numFmtId="164" fontId="4" fillId="2" borderId="27" xfId="0" applyFont="1" applyFill="1" applyBorder="1"/>
    <xf numFmtId="164" fontId="4" fillId="0" borderId="28" xfId="0" applyFont="1" applyBorder="1" applyProtection="1">
      <protection locked="0"/>
    </xf>
    <xf numFmtId="164" fontId="4" fillId="0" borderId="19" xfId="0" applyFont="1" applyBorder="1"/>
    <xf numFmtId="164" fontId="3" fillId="2" borderId="29" xfId="0" applyFont="1" applyFill="1" applyBorder="1"/>
    <xf numFmtId="164" fontId="3" fillId="2" borderId="30" xfId="0" applyFont="1" applyFill="1" applyBorder="1"/>
    <xf numFmtId="165" fontId="2" fillId="0" borderId="0" xfId="0" applyNumberFormat="1" applyFont="1" applyAlignment="1" applyProtection="1">
      <alignment horizontal="left"/>
      <protection locked="0"/>
    </xf>
    <xf numFmtId="164" fontId="2" fillId="2" borderId="0" xfId="0" applyFont="1" applyFill="1"/>
    <xf numFmtId="164" fontId="2" fillId="0" borderId="0" xfId="0" applyFont="1" applyProtection="1">
      <protection locked="0"/>
    </xf>
    <xf numFmtId="164" fontId="2" fillId="0" borderId="0" xfId="0" applyFont="1"/>
    <xf numFmtId="165" fontId="2" fillId="0" borderId="1" xfId="0" applyNumberFormat="1" applyFont="1" applyBorder="1" applyAlignment="1" applyProtection="1">
      <alignment horizontal="left"/>
      <protection locked="0"/>
    </xf>
    <xf numFmtId="164" fontId="2" fillId="0" borderId="4" xfId="0" applyFont="1" applyBorder="1" applyProtection="1">
      <protection locked="0"/>
    </xf>
    <xf numFmtId="164" fontId="2" fillId="2" borderId="4" xfId="0" applyFont="1" applyFill="1" applyBorder="1"/>
    <xf numFmtId="164" fontId="2" fillId="0" borderId="3" xfId="0" applyFont="1" applyBorder="1" applyProtection="1">
      <protection locked="0"/>
    </xf>
    <xf numFmtId="164" fontId="2" fillId="0" borderId="4" xfId="0" applyFont="1" applyBorder="1"/>
    <xf numFmtId="164" fontId="5" fillId="0" borderId="0" xfId="0" applyFont="1" applyProtection="1">
      <protection locked="0"/>
    </xf>
    <xf numFmtId="166" fontId="5" fillId="0" borderId="0" xfId="0" applyNumberFormat="1" applyFont="1" applyProtection="1">
      <protection locked="0"/>
    </xf>
    <xf numFmtId="164" fontId="1" fillId="0" borderId="0" xfId="0" applyFont="1" applyProtection="1"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164" fontId="3" fillId="0" borderId="0" xfId="0" applyFont="1"/>
    <xf numFmtId="165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nsk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gbok"/>
      <sheetName val="Finanser"/>
      <sheetName val="Eiendeler"/>
      <sheetName val="Inntekter"/>
      <sheetName val="Utgifter"/>
      <sheetName val="Kunder"/>
      <sheetName val="Leverandører"/>
      <sheetName val="Arrangementer"/>
      <sheetName val="Anleggsmidler"/>
      <sheetName val="Resultat"/>
      <sheetName val="Balanse"/>
      <sheetName val="Kontoplan"/>
      <sheetName val="Interne navn"/>
    </sheetNames>
    <sheetDataSet>
      <sheetData sheetId="0" refreshError="1"/>
      <sheetData sheetId="1">
        <row r="6">
          <cell r="C6">
            <v>0</v>
          </cell>
          <cell r="E6">
            <v>67560.69</v>
          </cell>
          <cell r="G6">
            <v>303196.27999999997</v>
          </cell>
          <cell r="J6">
            <v>33918</v>
          </cell>
        </row>
      </sheetData>
      <sheetData sheetId="2">
        <row r="6">
          <cell r="C6">
            <v>0</v>
          </cell>
          <cell r="E6">
            <v>0</v>
          </cell>
          <cell r="G6">
            <v>1</v>
          </cell>
          <cell r="I6">
            <v>1</v>
          </cell>
          <cell r="K6">
            <v>1</v>
          </cell>
          <cell r="M6">
            <v>1</v>
          </cell>
          <cell r="O6">
            <v>1</v>
          </cell>
          <cell r="Q6">
            <v>37</v>
          </cell>
          <cell r="S6">
            <v>176</v>
          </cell>
          <cell r="U6">
            <v>2</v>
          </cell>
          <cell r="W6">
            <v>10</v>
          </cell>
          <cell r="Y6">
            <v>2</v>
          </cell>
          <cell r="AA6">
            <v>35968</v>
          </cell>
          <cell r="AC6">
            <v>1</v>
          </cell>
          <cell r="AE6">
            <v>1</v>
          </cell>
          <cell r="AG6">
            <v>4</v>
          </cell>
          <cell r="AI6">
            <v>4</v>
          </cell>
          <cell r="AK6">
            <v>1</v>
          </cell>
          <cell r="AM6">
            <v>0</v>
          </cell>
          <cell r="AO6">
            <v>36211</v>
          </cell>
        </row>
      </sheetData>
      <sheetData sheetId="3">
        <row r="6">
          <cell r="D6">
            <v>1295</v>
          </cell>
          <cell r="F6">
            <v>0</v>
          </cell>
          <cell r="H6">
            <v>0</v>
          </cell>
          <cell r="J6">
            <v>5900</v>
          </cell>
          <cell r="L6">
            <v>56800</v>
          </cell>
          <cell r="N6">
            <v>0</v>
          </cell>
          <cell r="P6">
            <v>0</v>
          </cell>
          <cell r="R6">
            <v>14000</v>
          </cell>
          <cell r="T6">
            <v>36500</v>
          </cell>
          <cell r="V6">
            <v>0</v>
          </cell>
          <cell r="X6">
            <v>18500</v>
          </cell>
          <cell r="Z6">
            <v>0</v>
          </cell>
          <cell r="AB6">
            <v>0</v>
          </cell>
          <cell r="AD6">
            <v>0</v>
          </cell>
          <cell r="AF6">
            <v>0</v>
          </cell>
          <cell r="AH6">
            <v>0</v>
          </cell>
          <cell r="AJ6">
            <v>0</v>
          </cell>
          <cell r="AL6">
            <v>14242</v>
          </cell>
          <cell r="AN6">
            <v>51720</v>
          </cell>
          <cell r="AP6">
            <v>13015</v>
          </cell>
          <cell r="AR6">
            <v>1635.61</v>
          </cell>
          <cell r="AT6">
            <v>8501</v>
          </cell>
          <cell r="AV6">
            <v>1273.93</v>
          </cell>
        </row>
      </sheetData>
      <sheetData sheetId="4">
        <row r="6">
          <cell r="C6">
            <v>0</v>
          </cell>
          <cell r="E6">
            <v>2968</v>
          </cell>
          <cell r="G6">
            <v>5950</v>
          </cell>
          <cell r="I6">
            <v>0</v>
          </cell>
          <cell r="K6">
            <v>0</v>
          </cell>
          <cell r="M6">
            <v>2360</v>
          </cell>
          <cell r="O6">
            <v>24500</v>
          </cell>
          <cell r="Q6">
            <v>0</v>
          </cell>
          <cell r="S6">
            <v>0</v>
          </cell>
          <cell r="U6">
            <v>0</v>
          </cell>
          <cell r="W6">
            <v>0</v>
          </cell>
          <cell r="Y6">
            <v>0</v>
          </cell>
          <cell r="AA6">
            <v>7000</v>
          </cell>
          <cell r="AC6">
            <v>6000</v>
          </cell>
          <cell r="AE6">
            <v>0</v>
          </cell>
          <cell r="AG6">
            <v>5900</v>
          </cell>
          <cell r="AI6">
            <v>56800</v>
          </cell>
          <cell r="AK6">
            <v>16000</v>
          </cell>
          <cell r="AM6">
            <v>0</v>
          </cell>
          <cell r="AO6">
            <v>250</v>
          </cell>
          <cell r="AQ6">
            <v>1000</v>
          </cell>
          <cell r="AS6">
            <v>3000</v>
          </cell>
          <cell r="AU6">
            <v>4000</v>
          </cell>
          <cell r="AW6">
            <v>5000</v>
          </cell>
          <cell r="AY6">
            <v>506</v>
          </cell>
          <cell r="BA6">
            <v>0</v>
          </cell>
          <cell r="BC6">
            <v>0</v>
          </cell>
          <cell r="BE6">
            <v>3500</v>
          </cell>
          <cell r="BG6">
            <v>5313</v>
          </cell>
          <cell r="BI6">
            <v>4000</v>
          </cell>
          <cell r="BK6">
            <v>872.44</v>
          </cell>
          <cell r="BM6">
            <v>0</v>
          </cell>
          <cell r="BO6">
            <v>0</v>
          </cell>
          <cell r="BQ6">
            <v>0</v>
          </cell>
          <cell r="BS6">
            <v>4377</v>
          </cell>
          <cell r="BU6">
            <v>6000</v>
          </cell>
          <cell r="BW6">
            <v>22090.1</v>
          </cell>
          <cell r="BY6">
            <v>4032.4</v>
          </cell>
          <cell r="CA6">
            <v>605.5</v>
          </cell>
          <cell r="CC6">
            <v>18452</v>
          </cell>
        </row>
      </sheetData>
      <sheetData sheetId="5">
        <row r="6">
          <cell r="BA6">
            <v>14755</v>
          </cell>
        </row>
      </sheetData>
      <sheetData sheetId="6">
        <row r="6">
          <cell r="CE6">
            <v>14041</v>
          </cell>
        </row>
      </sheetData>
      <sheetData sheetId="7" refreshError="1"/>
      <sheetData sheetId="8" refreshError="1"/>
      <sheetData sheetId="9" refreshError="1"/>
      <sheetData sheetId="10">
        <row r="14">
          <cell r="C14">
            <v>360857.87</v>
          </cell>
        </row>
      </sheetData>
      <sheetData sheetId="11">
        <row r="2">
          <cell r="A2">
            <v>1250</v>
          </cell>
          <cell r="B2" t="str">
            <v>Kortstokker</v>
          </cell>
          <cell r="D2">
            <v>1200</v>
          </cell>
          <cell r="E2" t="str">
            <v>Eiendeler</v>
          </cell>
        </row>
        <row r="3">
          <cell r="A3">
            <v>1251</v>
          </cell>
          <cell r="B3" t="str">
            <v>Mapper</v>
          </cell>
          <cell r="D3">
            <v>1500</v>
          </cell>
          <cell r="E3" t="str">
            <v>Kundefordringer</v>
          </cell>
        </row>
        <row r="4">
          <cell r="A4">
            <v>1252</v>
          </cell>
          <cell r="B4" t="str">
            <v>Hjertestarter</v>
          </cell>
          <cell r="D4">
            <v>2050</v>
          </cell>
          <cell r="E4" t="str">
            <v xml:space="preserve">Egenkapital </v>
          </cell>
        </row>
        <row r="5">
          <cell r="A5">
            <v>1253</v>
          </cell>
          <cell r="B5" t="str">
            <v>PC Turneringsleder</v>
          </cell>
          <cell r="D5">
            <v>2390</v>
          </cell>
          <cell r="E5" t="str">
            <v>Kundeforskudd</v>
          </cell>
        </row>
        <row r="6">
          <cell r="A6">
            <v>1254</v>
          </cell>
          <cell r="B6" t="str">
            <v>PC Regnskap</v>
          </cell>
          <cell r="D6">
            <v>2400</v>
          </cell>
          <cell r="E6" t="str">
            <v>Leverandørgjeld</v>
          </cell>
        </row>
        <row r="7">
          <cell r="A7">
            <v>1255</v>
          </cell>
          <cell r="B7" t="str">
            <v>Printer</v>
          </cell>
          <cell r="D7">
            <v>3220</v>
          </cell>
          <cell r="E7" t="str">
            <v>Sum Startavgifter</v>
          </cell>
        </row>
        <row r="8">
          <cell r="A8">
            <v>1256</v>
          </cell>
          <cell r="B8" t="str">
            <v>Bridgemate Server</v>
          </cell>
          <cell r="D8">
            <v>3240</v>
          </cell>
          <cell r="E8" t="str">
            <v>Sum Div inntekter turneringer</v>
          </cell>
        </row>
        <row r="9">
          <cell r="A9">
            <v>1257</v>
          </cell>
          <cell r="B9" t="str">
            <v>Bridgemate Terminal</v>
          </cell>
          <cell r="D9">
            <v>6220</v>
          </cell>
          <cell r="E9" t="str">
            <v>Sum Turneringsledelse</v>
          </cell>
        </row>
        <row r="10">
          <cell r="A10">
            <v>1258</v>
          </cell>
          <cell r="B10" t="str">
            <v>Meldebokser</v>
          </cell>
          <cell r="D10">
            <v>6240</v>
          </cell>
          <cell r="E10" t="str">
            <v>Sum Premier</v>
          </cell>
        </row>
        <row r="11">
          <cell r="A11">
            <v>1259</v>
          </cell>
          <cell r="B11" t="str">
            <v>Minnebrikker</v>
          </cell>
          <cell r="D11">
            <v>6260</v>
          </cell>
          <cell r="E11" t="str">
            <v>Sum Turneringer deltakelse</v>
          </cell>
        </row>
        <row r="12">
          <cell r="A12">
            <v>1260</v>
          </cell>
          <cell r="B12" t="str">
            <v>Refleksvester</v>
          </cell>
          <cell r="D12">
            <v>6300</v>
          </cell>
          <cell r="E12" t="str">
            <v>Sum Leie lokaler</v>
          </cell>
        </row>
        <row r="13">
          <cell r="A13">
            <v>1261</v>
          </cell>
          <cell r="B13" t="str">
            <v>Oppbevaringsbokser</v>
          </cell>
          <cell r="D13">
            <v>8800</v>
          </cell>
          <cell r="E13" t="str">
            <v>Resultat</v>
          </cell>
        </row>
        <row r="14">
          <cell r="A14">
            <v>1262</v>
          </cell>
          <cell r="B14" t="str">
            <v>Bridgemate 2</v>
          </cell>
        </row>
        <row r="15">
          <cell r="A15">
            <v>1280</v>
          </cell>
          <cell r="B15" t="str">
            <v>Vannkoker</v>
          </cell>
        </row>
        <row r="16">
          <cell r="A16">
            <v>1281</v>
          </cell>
          <cell r="B16" t="str">
            <v>Kokeplate</v>
          </cell>
        </row>
        <row r="17">
          <cell r="A17">
            <v>1282</v>
          </cell>
          <cell r="B17" t="str">
            <v>Kaffetrakter</v>
          </cell>
        </row>
        <row r="18">
          <cell r="A18">
            <v>1283</v>
          </cell>
          <cell r="B18" t="str">
            <v>Kaffekanner</v>
          </cell>
        </row>
        <row r="19">
          <cell r="A19">
            <v>1284</v>
          </cell>
          <cell r="B19" t="str">
            <v>Pølsekoker</v>
          </cell>
        </row>
        <row r="20">
          <cell r="A20">
            <v>1460</v>
          </cell>
          <cell r="B20" t="str">
            <v>Varer for videresalg</v>
          </cell>
        </row>
        <row r="21">
          <cell r="A21">
            <v>1910</v>
          </cell>
          <cell r="B21" t="str">
            <v>Kassa</v>
          </cell>
        </row>
        <row r="22">
          <cell r="A22">
            <v>1920</v>
          </cell>
          <cell r="B22" t="str">
            <v>Bank Brukskonto</v>
          </cell>
        </row>
        <row r="23">
          <cell r="A23">
            <v>1930</v>
          </cell>
          <cell r="B23" t="str">
            <v>Bank Plasseringskonto</v>
          </cell>
        </row>
        <row r="24">
          <cell r="A24">
            <v>2960</v>
          </cell>
          <cell r="B24" t="str">
            <v xml:space="preserve">Avsetninger (Kortsiktig) </v>
          </cell>
        </row>
        <row r="25">
          <cell r="A25">
            <v>3100</v>
          </cell>
          <cell r="B25" t="str">
            <v>Salgsinntekt</v>
          </cell>
        </row>
        <row r="26">
          <cell r="A26">
            <v>3200</v>
          </cell>
          <cell r="B26" t="str">
            <v>Salg varer</v>
          </cell>
        </row>
        <row r="27">
          <cell r="A27">
            <v>3210</v>
          </cell>
          <cell r="B27" t="str">
            <v>Kurs inntekter</v>
          </cell>
        </row>
        <row r="28">
          <cell r="A28">
            <v>3221</v>
          </cell>
          <cell r="B28" t="str">
            <v>Startavgifter SM Vår</v>
          </cell>
        </row>
        <row r="29">
          <cell r="A29">
            <v>3222</v>
          </cell>
          <cell r="B29" t="str">
            <v>Startavgifter SM Høst</v>
          </cell>
        </row>
        <row r="30">
          <cell r="A30">
            <v>3223</v>
          </cell>
          <cell r="B30" t="str">
            <v xml:space="preserve">Startavgifter NM (Div.) Par </v>
          </cell>
        </row>
        <row r="31">
          <cell r="A31">
            <v>3224</v>
          </cell>
          <cell r="B31" t="str">
            <v>Startavgifter KM Patton</v>
          </cell>
        </row>
        <row r="32">
          <cell r="A32">
            <v>3225</v>
          </cell>
          <cell r="B32" t="str">
            <v xml:space="preserve">Startavgifter KM (Div.) Par </v>
          </cell>
        </row>
        <row r="33">
          <cell r="A33">
            <v>3226</v>
          </cell>
          <cell r="B33" t="str">
            <v>Startavgifter KM Lag</v>
          </cell>
        </row>
        <row r="34">
          <cell r="A34">
            <v>3229</v>
          </cell>
          <cell r="B34" t="str">
            <v>Startavgifter Andre</v>
          </cell>
        </row>
        <row r="35">
          <cell r="A35">
            <v>3241</v>
          </cell>
          <cell r="B35" t="str">
            <v>Div inntekter SM Vår</v>
          </cell>
        </row>
        <row r="36">
          <cell r="A36">
            <v>3242</v>
          </cell>
          <cell r="B36" t="str">
            <v>Div inntekter SM Høst</v>
          </cell>
        </row>
        <row r="37">
          <cell r="A37">
            <v>3243</v>
          </cell>
          <cell r="B37" t="str">
            <v>Div inntekter NM (Div.) Par</v>
          </cell>
        </row>
        <row r="38">
          <cell r="A38">
            <v>3244</v>
          </cell>
          <cell r="B38" t="str">
            <v>Div inntekter KM Patton</v>
          </cell>
        </row>
        <row r="39">
          <cell r="A39">
            <v>3245</v>
          </cell>
          <cell r="B39" t="str">
            <v xml:space="preserve">Div inntekter KM (Div.) Par </v>
          </cell>
        </row>
        <row r="40">
          <cell r="A40">
            <v>3246</v>
          </cell>
          <cell r="B40" t="str">
            <v>Div inntekter KM Lag</v>
          </cell>
        </row>
        <row r="41">
          <cell r="A41">
            <v>3249</v>
          </cell>
          <cell r="B41" t="str">
            <v>Div inntekter Andre</v>
          </cell>
        </row>
        <row r="42">
          <cell r="A42">
            <v>3250</v>
          </cell>
          <cell r="B42" t="str">
            <v>Serviceavgifter</v>
          </cell>
        </row>
        <row r="43">
          <cell r="A43">
            <v>3260</v>
          </cell>
          <cell r="B43" t="str">
            <v>Kretskontingent</v>
          </cell>
        </row>
        <row r="44">
          <cell r="A44">
            <v>3410</v>
          </cell>
          <cell r="B44" t="str">
            <v>MVA Kompensasjon</v>
          </cell>
        </row>
        <row r="45">
          <cell r="A45">
            <v>3430</v>
          </cell>
          <cell r="B45" t="str">
            <v>Norsk Tipping/Grasrot</v>
          </cell>
        </row>
        <row r="46">
          <cell r="A46">
            <v>3790</v>
          </cell>
          <cell r="B46" t="str">
            <v>Diverse inntekter</v>
          </cell>
        </row>
        <row r="47">
          <cell r="A47">
            <v>4200</v>
          </cell>
          <cell r="B47" t="str">
            <v>Kjøp varer</v>
          </cell>
        </row>
        <row r="48">
          <cell r="A48">
            <v>6221</v>
          </cell>
          <cell r="B48" t="str">
            <v>Turneringsledelse SM Vår</v>
          </cell>
        </row>
        <row r="49">
          <cell r="A49">
            <v>6222</v>
          </cell>
          <cell r="B49" t="str">
            <v>Turneringsledelse SM Høst</v>
          </cell>
        </row>
        <row r="50">
          <cell r="A50">
            <v>6223</v>
          </cell>
          <cell r="B50" t="str">
            <v>Turneringsledelse NM (Div.) Par</v>
          </cell>
        </row>
        <row r="51">
          <cell r="A51">
            <v>6224</v>
          </cell>
          <cell r="B51" t="str">
            <v>Turneringsledelse KM Patton</v>
          </cell>
        </row>
        <row r="52">
          <cell r="A52">
            <v>6225</v>
          </cell>
          <cell r="B52" t="str">
            <v>Turneringsledelse KM (Div.) Par</v>
          </cell>
        </row>
        <row r="53">
          <cell r="A53">
            <v>6226</v>
          </cell>
          <cell r="B53" t="str">
            <v>Turneringsledelse KM Lag</v>
          </cell>
        </row>
        <row r="54">
          <cell r="A54">
            <v>6229</v>
          </cell>
          <cell r="B54" t="str">
            <v>Turneringsledelse Andre</v>
          </cell>
        </row>
        <row r="55">
          <cell r="A55">
            <v>6241</v>
          </cell>
          <cell r="B55" t="str">
            <v>Premier SM Vår</v>
          </cell>
        </row>
        <row r="56">
          <cell r="A56">
            <v>6242</v>
          </cell>
          <cell r="B56" t="str">
            <v>Premier SM Høst</v>
          </cell>
        </row>
        <row r="57">
          <cell r="A57">
            <v>6243</v>
          </cell>
          <cell r="B57" t="str">
            <v>Premier NM (Div.) Par</v>
          </cell>
        </row>
        <row r="58">
          <cell r="A58">
            <v>6244</v>
          </cell>
          <cell r="B58" t="str">
            <v>Premier KM Patton</v>
          </cell>
        </row>
        <row r="59">
          <cell r="A59">
            <v>6245</v>
          </cell>
          <cell r="B59" t="str">
            <v>Premier KM (Div.) Par</v>
          </cell>
        </row>
        <row r="60">
          <cell r="A60">
            <v>6246</v>
          </cell>
          <cell r="B60" t="str">
            <v>Premier KM Lag</v>
          </cell>
        </row>
        <row r="61">
          <cell r="A61">
            <v>6249</v>
          </cell>
          <cell r="B61" t="str">
            <v>Premier Andre</v>
          </cell>
        </row>
        <row r="62">
          <cell r="A62">
            <v>6261</v>
          </cell>
          <cell r="B62" t="str">
            <v>Turneringer deltakelse SM Vår</v>
          </cell>
        </row>
        <row r="63">
          <cell r="A63">
            <v>6262</v>
          </cell>
          <cell r="B63" t="str">
            <v>Turneringer deltakelse SM Høst</v>
          </cell>
        </row>
        <row r="64">
          <cell r="A64">
            <v>6263</v>
          </cell>
          <cell r="B64" t="str">
            <v>Turneringer deltakelse NM (Div.) Par</v>
          </cell>
        </row>
        <row r="65">
          <cell r="A65">
            <v>6264</v>
          </cell>
          <cell r="B65" t="str">
            <v>Turneringer deltakelse KM Patton</v>
          </cell>
        </row>
        <row r="66">
          <cell r="A66">
            <v>6265</v>
          </cell>
          <cell r="B66" t="str">
            <v>Turneringer deltakelse KM (Div.) Par</v>
          </cell>
        </row>
        <row r="67">
          <cell r="A67">
            <v>6266</v>
          </cell>
          <cell r="B67" t="str">
            <v>Turneringer deltakelse KM Lag</v>
          </cell>
        </row>
        <row r="68">
          <cell r="A68">
            <v>6269</v>
          </cell>
          <cell r="B68" t="str">
            <v>Turneringer deltakelse Andre</v>
          </cell>
        </row>
        <row r="69">
          <cell r="A69">
            <v>6285</v>
          </cell>
          <cell r="B69" t="str">
            <v>Kurs arrangement</v>
          </cell>
        </row>
        <row r="70">
          <cell r="A70">
            <v>6301</v>
          </cell>
          <cell r="B70" t="str">
            <v>Leie lokaler SM Vår</v>
          </cell>
        </row>
        <row r="71">
          <cell r="A71">
            <v>6302</v>
          </cell>
          <cell r="B71" t="str">
            <v>Leie lokaler SM Høst</v>
          </cell>
        </row>
        <row r="72">
          <cell r="A72">
            <v>6303</v>
          </cell>
          <cell r="B72" t="str">
            <v>Leie lokaler NM (Div.) Par</v>
          </cell>
        </row>
        <row r="73">
          <cell r="A73">
            <v>6304</v>
          </cell>
          <cell r="B73" t="str">
            <v>Leie lokaler KM Patton</v>
          </cell>
        </row>
        <row r="74">
          <cell r="A74">
            <v>6305</v>
          </cell>
          <cell r="B74" t="str">
            <v>Leie lokaler KM (Div.) Par</v>
          </cell>
        </row>
        <row r="75">
          <cell r="A75">
            <v>6306</v>
          </cell>
          <cell r="B75" t="str">
            <v>Leie lokaler KM Lag</v>
          </cell>
        </row>
        <row r="76">
          <cell r="A76">
            <v>6309</v>
          </cell>
          <cell r="B76" t="str">
            <v>Leie lokaler Andre</v>
          </cell>
        </row>
        <row r="77">
          <cell r="A77">
            <v>6420</v>
          </cell>
          <cell r="B77" t="str">
            <v>Data/programvare</v>
          </cell>
        </row>
        <row r="78">
          <cell r="A78">
            <v>6560</v>
          </cell>
          <cell r="B78" t="str">
            <v>Rekvisita</v>
          </cell>
        </row>
        <row r="79">
          <cell r="A79">
            <v>6860</v>
          </cell>
          <cell r="B79" t="str">
            <v>Kurs deltakelse</v>
          </cell>
        </row>
        <row r="80">
          <cell r="A80">
            <v>6940</v>
          </cell>
          <cell r="B80" t="str">
            <v>Gebyr/porto</v>
          </cell>
        </row>
        <row r="81">
          <cell r="A81">
            <v>7140</v>
          </cell>
          <cell r="B81" t="str">
            <v>Forbundsreiser</v>
          </cell>
        </row>
        <row r="82">
          <cell r="A82">
            <v>7420</v>
          </cell>
          <cell r="B82" t="str">
            <v>Gave/oppmerksomheter</v>
          </cell>
        </row>
        <row r="83">
          <cell r="A83">
            <v>7711</v>
          </cell>
          <cell r="B83" t="str">
            <v>Styreutgifter</v>
          </cell>
        </row>
        <row r="84">
          <cell r="A84">
            <v>7720</v>
          </cell>
          <cell r="B84" t="str">
            <v>Krets/klubbleder samling</v>
          </cell>
        </row>
        <row r="85">
          <cell r="A85">
            <v>7770</v>
          </cell>
          <cell r="B85" t="str">
            <v>Omkostninger bank</v>
          </cell>
        </row>
        <row r="86">
          <cell r="A86">
            <v>7790</v>
          </cell>
          <cell r="B86" t="str">
            <v>Diverse utgifter</v>
          </cell>
        </row>
        <row r="87">
          <cell r="A87">
            <v>8051</v>
          </cell>
          <cell r="B87" t="str">
            <v>Renteinntekter</v>
          </cell>
        </row>
        <row r="88">
          <cell r="A88">
            <v>9005</v>
          </cell>
          <cell r="B88" t="str">
            <v>Askim BK</v>
          </cell>
        </row>
        <row r="89">
          <cell r="A89">
            <v>9009</v>
          </cell>
          <cell r="B89" t="str">
            <v>BK Tempo</v>
          </cell>
        </row>
        <row r="90">
          <cell r="A90">
            <v>9013</v>
          </cell>
          <cell r="B90" t="str">
            <v>BånnSki BK</v>
          </cell>
        </row>
        <row r="91">
          <cell r="A91">
            <v>9017</v>
          </cell>
          <cell r="B91" t="str">
            <v>Drøbak BK</v>
          </cell>
        </row>
        <row r="92">
          <cell r="A92">
            <v>9019</v>
          </cell>
          <cell r="B92" t="str">
            <v>Fredrikstad BK</v>
          </cell>
        </row>
        <row r="93">
          <cell r="A93">
            <v>9023</v>
          </cell>
          <cell r="B93" t="str">
            <v>Garder BK</v>
          </cell>
        </row>
        <row r="94">
          <cell r="A94">
            <v>9025</v>
          </cell>
          <cell r="B94" t="str">
            <v>Gressvik BK</v>
          </cell>
        </row>
        <row r="95">
          <cell r="A95">
            <v>9027</v>
          </cell>
          <cell r="B95" t="str">
            <v>Idd BK</v>
          </cell>
        </row>
        <row r="96">
          <cell r="A96">
            <v>9030</v>
          </cell>
          <cell r="B96" t="str">
            <v>Kambo BK</v>
          </cell>
        </row>
        <row r="97">
          <cell r="A97">
            <v>9037</v>
          </cell>
          <cell r="B97" t="str">
            <v>Kolbotn BK</v>
          </cell>
        </row>
        <row r="98">
          <cell r="A98">
            <v>9043</v>
          </cell>
          <cell r="B98" t="str">
            <v>Moss BK</v>
          </cell>
        </row>
        <row r="99">
          <cell r="A99">
            <v>9045</v>
          </cell>
          <cell r="B99" t="str">
            <v>Nesodden BK</v>
          </cell>
        </row>
        <row r="100">
          <cell r="A100">
            <v>9049</v>
          </cell>
          <cell r="B100" t="str">
            <v>Rakkestad BK</v>
          </cell>
        </row>
        <row r="101">
          <cell r="A101">
            <v>9057</v>
          </cell>
          <cell r="B101" t="str">
            <v>Rygge BK</v>
          </cell>
        </row>
        <row r="102">
          <cell r="A102">
            <v>9059</v>
          </cell>
          <cell r="B102" t="str">
            <v>Råde BK</v>
          </cell>
        </row>
        <row r="103">
          <cell r="A103">
            <v>9065</v>
          </cell>
          <cell r="B103" t="str">
            <v>Sarpsborg BK</v>
          </cell>
        </row>
        <row r="104">
          <cell r="A104">
            <v>9069</v>
          </cell>
          <cell r="B104" t="str">
            <v>Ski BK</v>
          </cell>
        </row>
        <row r="105">
          <cell r="A105">
            <v>9075</v>
          </cell>
          <cell r="B105" t="str">
            <v>Soon BK</v>
          </cell>
        </row>
        <row r="106">
          <cell r="A106">
            <v>9079</v>
          </cell>
          <cell r="B106" t="str">
            <v>Spydeberg BK</v>
          </cell>
        </row>
        <row r="107">
          <cell r="A107">
            <v>9081</v>
          </cell>
          <cell r="B107" t="str">
            <v>Svestad BK</v>
          </cell>
        </row>
        <row r="108">
          <cell r="A108">
            <v>9083</v>
          </cell>
          <cell r="B108" t="str">
            <v>Torsnes BK</v>
          </cell>
        </row>
        <row r="109">
          <cell r="A109">
            <v>9087</v>
          </cell>
          <cell r="B109" t="str">
            <v>Vestby BK</v>
          </cell>
        </row>
        <row r="110">
          <cell r="A110">
            <v>9093</v>
          </cell>
          <cell r="B110" t="str">
            <v>Ørje BK</v>
          </cell>
        </row>
        <row r="111">
          <cell r="A111">
            <v>9095</v>
          </cell>
          <cell r="B111" t="str">
            <v>Ås BK</v>
          </cell>
        </row>
        <row r="112">
          <cell r="A112">
            <v>9199</v>
          </cell>
          <cell r="B112" t="str">
            <v>Andre kunder</v>
          </cell>
        </row>
        <row r="113">
          <cell r="A113">
            <v>9505</v>
          </cell>
          <cell r="B113" t="str">
            <v>Askim BK</v>
          </cell>
        </row>
        <row r="114">
          <cell r="A114">
            <v>9509</v>
          </cell>
          <cell r="B114" t="str">
            <v>BK Tempo</v>
          </cell>
        </row>
        <row r="115">
          <cell r="A115">
            <v>9513</v>
          </cell>
          <cell r="B115" t="str">
            <v>BånnSki BK</v>
          </cell>
        </row>
        <row r="116">
          <cell r="A116">
            <v>9517</v>
          </cell>
          <cell r="B116" t="str">
            <v>Drøbak BK</v>
          </cell>
        </row>
        <row r="117">
          <cell r="A117">
            <v>9519</v>
          </cell>
          <cell r="B117" t="str">
            <v>Fredrikstad BK</v>
          </cell>
        </row>
        <row r="118">
          <cell r="A118">
            <v>9523</v>
          </cell>
          <cell r="B118" t="str">
            <v>Garder BK</v>
          </cell>
        </row>
        <row r="119">
          <cell r="A119">
            <v>9525</v>
          </cell>
          <cell r="B119" t="str">
            <v>Gressvik BK</v>
          </cell>
        </row>
        <row r="120">
          <cell r="A120">
            <v>9527</v>
          </cell>
          <cell r="B120" t="str">
            <v>Idd BK</v>
          </cell>
        </row>
        <row r="121">
          <cell r="A121">
            <v>9530</v>
          </cell>
          <cell r="B121" t="str">
            <v>Kambo BK</v>
          </cell>
        </row>
        <row r="122">
          <cell r="A122">
            <v>9537</v>
          </cell>
          <cell r="B122" t="str">
            <v>Kolbotn BK</v>
          </cell>
        </row>
        <row r="123">
          <cell r="A123">
            <v>9543</v>
          </cell>
          <cell r="B123" t="str">
            <v>Moss BK</v>
          </cell>
        </row>
        <row r="124">
          <cell r="A124">
            <v>9545</v>
          </cell>
          <cell r="B124" t="str">
            <v>Nesodden BK</v>
          </cell>
        </row>
        <row r="125">
          <cell r="A125">
            <v>9549</v>
          </cell>
          <cell r="B125" t="str">
            <v>Rakkestad BK</v>
          </cell>
        </row>
        <row r="126">
          <cell r="A126">
            <v>9557</v>
          </cell>
          <cell r="B126" t="str">
            <v>Rygge BK</v>
          </cell>
        </row>
        <row r="127">
          <cell r="A127">
            <v>9559</v>
          </cell>
          <cell r="B127" t="str">
            <v>Råde BK</v>
          </cell>
        </row>
        <row r="128">
          <cell r="A128">
            <v>9565</v>
          </cell>
          <cell r="B128" t="str">
            <v>Sarpsborg BK</v>
          </cell>
        </row>
        <row r="129">
          <cell r="A129">
            <v>9569</v>
          </cell>
          <cell r="B129" t="str">
            <v>Ski BK</v>
          </cell>
        </row>
        <row r="130">
          <cell r="A130">
            <v>9575</v>
          </cell>
          <cell r="B130" t="str">
            <v>Soon BK</v>
          </cell>
        </row>
        <row r="131">
          <cell r="A131">
            <v>9579</v>
          </cell>
          <cell r="B131" t="str">
            <v>Spydeberg BK</v>
          </cell>
        </row>
        <row r="132">
          <cell r="A132">
            <v>9581</v>
          </cell>
          <cell r="B132" t="str">
            <v>Svestad BK</v>
          </cell>
        </row>
        <row r="133">
          <cell r="A133">
            <v>9583</v>
          </cell>
          <cell r="B133" t="str">
            <v>Torsnes BK</v>
          </cell>
        </row>
        <row r="134">
          <cell r="A134">
            <v>9587</v>
          </cell>
          <cell r="B134" t="str">
            <v>Vestby BK</v>
          </cell>
        </row>
        <row r="135">
          <cell r="A135">
            <v>9593</v>
          </cell>
          <cell r="B135" t="str">
            <v>Ørje BK</v>
          </cell>
        </row>
        <row r="136">
          <cell r="A136">
            <v>9595</v>
          </cell>
          <cell r="B136" t="str">
            <v>Ås BK</v>
          </cell>
        </row>
        <row r="137">
          <cell r="A137">
            <v>9600</v>
          </cell>
          <cell r="B137" t="str">
            <v>Norsk Bridgeforbund</v>
          </cell>
        </row>
        <row r="138">
          <cell r="A138">
            <v>9611</v>
          </cell>
          <cell r="B138" t="str">
            <v>Akershus fylkeskommune</v>
          </cell>
        </row>
        <row r="139">
          <cell r="A139">
            <v>9612</v>
          </cell>
          <cell r="B139" t="str">
            <v>Folkets Hus, Ski</v>
          </cell>
        </row>
        <row r="140">
          <cell r="A140">
            <v>9613</v>
          </cell>
          <cell r="B140" t="str">
            <v>Bøndernes Hus, Råde</v>
          </cell>
        </row>
        <row r="141">
          <cell r="A141">
            <v>9614</v>
          </cell>
          <cell r="B141" t="str">
            <v>Musikkhuset Greåker</v>
          </cell>
        </row>
        <row r="142">
          <cell r="A142">
            <v>9615</v>
          </cell>
          <cell r="B142" t="str">
            <v>Idrettsbutikken</v>
          </cell>
        </row>
        <row r="143">
          <cell r="A143">
            <v>9680</v>
          </cell>
          <cell r="B143" t="str">
            <v>Styret Finn Leiang</v>
          </cell>
        </row>
        <row r="144">
          <cell r="A144">
            <v>9681</v>
          </cell>
          <cell r="B144" t="str">
            <v>Styret Anne G Hjemmen</v>
          </cell>
        </row>
        <row r="145">
          <cell r="A145">
            <v>9682</v>
          </cell>
          <cell r="B145" t="str">
            <v>Styret Sven Pran</v>
          </cell>
        </row>
        <row r="146">
          <cell r="A146">
            <v>9683</v>
          </cell>
          <cell r="B146" t="str">
            <v>Styret Einar</v>
          </cell>
        </row>
        <row r="147">
          <cell r="A147">
            <v>9684</v>
          </cell>
          <cell r="B147" t="str">
            <v>Styret Jan Føyner</v>
          </cell>
        </row>
        <row r="148">
          <cell r="A148">
            <v>9685</v>
          </cell>
          <cell r="B148" t="str">
            <v>Styret Jan P Johannesen</v>
          </cell>
        </row>
        <row r="149">
          <cell r="A149">
            <v>9686</v>
          </cell>
          <cell r="B149" t="str">
            <v>Styret Maria Svae</v>
          </cell>
        </row>
        <row r="150">
          <cell r="A150">
            <v>9687</v>
          </cell>
          <cell r="B150" t="str">
            <v>Styret Anne G Dahlberg</v>
          </cell>
        </row>
        <row r="151">
          <cell r="A151">
            <v>9688</v>
          </cell>
          <cell r="B151" t="str">
            <v>Styret Astrid Lindberg</v>
          </cell>
        </row>
        <row r="152">
          <cell r="A152">
            <v>9699</v>
          </cell>
          <cell r="B152" t="str">
            <v>Andre leverandører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918B-85B2-42D8-BC91-B7A31A20DD0C}">
  <dimension ref="A1:I52"/>
  <sheetViews>
    <sheetView tabSelected="1" workbookViewId="0">
      <selection activeCell="E31" sqref="E31"/>
    </sheetView>
  </sheetViews>
  <sheetFormatPr baseColWidth="10" defaultColWidth="7.7109375" defaultRowHeight="15" x14ac:dyDescent="0.25"/>
  <cols>
    <col min="1" max="1" width="7.7109375" style="25"/>
    <col min="2" max="2" width="31.42578125" style="4" bestFit="1" customWidth="1"/>
    <col min="3" max="6" width="13.85546875" style="4" bestFit="1" customWidth="1"/>
    <col min="7" max="16384" width="7.7109375" style="4"/>
  </cols>
  <sheetData>
    <row r="1" spans="1:9" ht="18.75" thickBot="1" x14ac:dyDescent="0.3">
      <c r="A1" s="1" t="s">
        <v>0</v>
      </c>
      <c r="B1" s="2"/>
      <c r="C1" s="2"/>
      <c r="D1" s="2"/>
      <c r="E1" s="2"/>
      <c r="F1" s="3"/>
    </row>
    <row r="2" spans="1:9" ht="16.5" thickBot="1" x14ac:dyDescent="0.3">
      <c r="A2" s="5"/>
      <c r="B2" s="6"/>
      <c r="C2" s="7" t="s">
        <v>1</v>
      </c>
      <c r="D2" s="8" t="s">
        <v>2</v>
      </c>
      <c r="E2" s="9" t="s">
        <v>1</v>
      </c>
      <c r="F2" s="8" t="s">
        <v>2</v>
      </c>
    </row>
    <row r="3" spans="1:9" ht="15.75" x14ac:dyDescent="0.25">
      <c r="A3" s="10"/>
      <c r="B3" s="11"/>
      <c r="C3" s="12">
        <f>_Regnskapsår-1</f>
        <v>2017</v>
      </c>
      <c r="D3" s="13">
        <f>_Regnskapsår</f>
        <v>2018</v>
      </c>
      <c r="E3" s="14">
        <f>_Regnskapsår</f>
        <v>2018</v>
      </c>
      <c r="F3" s="13">
        <f>_Regnskapsår+1</f>
        <v>2019</v>
      </c>
    </row>
    <row r="4" spans="1:9" ht="15.75" x14ac:dyDescent="0.25">
      <c r="A4" s="15" t="s">
        <v>3</v>
      </c>
      <c r="B4" s="16"/>
      <c r="C4" s="17"/>
      <c r="D4" s="18"/>
      <c r="E4" s="19"/>
      <c r="F4" s="18"/>
    </row>
    <row r="5" spans="1:9" ht="15.75" x14ac:dyDescent="0.25">
      <c r="A5" s="20">
        <v>3100</v>
      </c>
      <c r="B5" s="21" t="str">
        <f t="shared" ref="B5:B15" si="0">VLOOKUP(A5,KontoPlan,2,FALSE)</f>
        <v>Salgsinntekt</v>
      </c>
      <c r="C5" s="22" t="s">
        <v>4</v>
      </c>
      <c r="D5" s="23"/>
      <c r="E5" s="24">
        <f>R_3100</f>
        <v>1295</v>
      </c>
      <c r="F5" s="23"/>
      <c r="H5" s="25"/>
    </row>
    <row r="6" spans="1:9" ht="15.75" x14ac:dyDescent="0.25">
      <c r="A6" s="20">
        <v>3200</v>
      </c>
      <c r="B6" s="21" t="str">
        <f t="shared" si="0"/>
        <v>Salg varer</v>
      </c>
      <c r="C6" s="26" t="s">
        <v>4</v>
      </c>
      <c r="D6" s="27"/>
      <c r="E6" s="28">
        <f>R_3200</f>
        <v>0</v>
      </c>
      <c r="F6" s="27"/>
      <c r="H6" s="25"/>
    </row>
    <row r="7" spans="1:9" ht="15.75" x14ac:dyDescent="0.25">
      <c r="A7" s="20">
        <v>3210</v>
      </c>
      <c r="B7" s="21" t="str">
        <f t="shared" si="0"/>
        <v>Kurs inntekter</v>
      </c>
      <c r="C7" s="26" t="s">
        <v>4</v>
      </c>
      <c r="D7" s="27"/>
      <c r="E7" s="28">
        <f>R_3210</f>
        <v>0</v>
      </c>
      <c r="F7" s="27"/>
      <c r="H7" s="25"/>
    </row>
    <row r="8" spans="1:9" ht="15.75" x14ac:dyDescent="0.25">
      <c r="A8" s="20">
        <v>3220</v>
      </c>
      <c r="B8" s="21" t="str">
        <f>VLOOKUP(A8,Konto_S_Plan,2,FALSE)</f>
        <v>Sum Startavgifter</v>
      </c>
      <c r="C8" s="26">
        <v>117215</v>
      </c>
      <c r="D8" s="27">
        <v>110000</v>
      </c>
      <c r="E8" s="28">
        <f>S_3220</f>
        <v>113200</v>
      </c>
      <c r="F8" s="27">
        <v>110000</v>
      </c>
      <c r="H8" s="25"/>
    </row>
    <row r="9" spans="1:9" ht="15.75" x14ac:dyDescent="0.25">
      <c r="A9" s="20">
        <v>3240</v>
      </c>
      <c r="B9" s="21" t="str">
        <f>VLOOKUP(A9,Konto_S_Plan,2,FALSE)</f>
        <v>Sum Div inntekter turneringer</v>
      </c>
      <c r="C9" s="26">
        <v>0</v>
      </c>
      <c r="D9" s="27">
        <v>18500</v>
      </c>
      <c r="E9" s="28">
        <f>S_3240</f>
        <v>18500</v>
      </c>
      <c r="F9" s="27">
        <v>17000</v>
      </c>
      <c r="H9" s="25"/>
    </row>
    <row r="10" spans="1:9" ht="15.75" x14ac:dyDescent="0.25">
      <c r="A10" s="20">
        <v>3250</v>
      </c>
      <c r="B10" s="21" t="str">
        <f t="shared" si="0"/>
        <v>Serviceavgifter</v>
      </c>
      <c r="C10" s="26">
        <v>15848</v>
      </c>
      <c r="D10" s="27">
        <v>16000</v>
      </c>
      <c r="E10" s="28">
        <f>R_3250</f>
        <v>14242</v>
      </c>
      <c r="F10" s="27">
        <v>16000</v>
      </c>
      <c r="H10" s="25"/>
    </row>
    <row r="11" spans="1:9" ht="15.75" x14ac:dyDescent="0.25">
      <c r="A11" s="20">
        <v>3260</v>
      </c>
      <c r="B11" s="21" t="str">
        <f t="shared" si="0"/>
        <v>Kretskontingent</v>
      </c>
      <c r="C11" s="26">
        <v>51780</v>
      </c>
      <c r="D11" s="27">
        <v>50000</v>
      </c>
      <c r="E11" s="28">
        <f>R_3260</f>
        <v>51720</v>
      </c>
      <c r="F11" s="27">
        <v>50000</v>
      </c>
      <c r="H11" s="25"/>
    </row>
    <row r="12" spans="1:9" ht="15.75" x14ac:dyDescent="0.25">
      <c r="A12" s="20">
        <v>3410</v>
      </c>
      <c r="B12" s="21" t="str">
        <f t="shared" si="0"/>
        <v>MVA Kompensasjon</v>
      </c>
      <c r="C12" s="26">
        <v>11244</v>
      </c>
      <c r="D12" s="27">
        <v>12000</v>
      </c>
      <c r="E12" s="28">
        <f>R_3410</f>
        <v>13015</v>
      </c>
      <c r="F12" s="27">
        <v>12000</v>
      </c>
      <c r="H12" s="25"/>
    </row>
    <row r="13" spans="1:9" ht="15.75" x14ac:dyDescent="0.25">
      <c r="A13" s="20">
        <v>3430</v>
      </c>
      <c r="B13" s="21" t="str">
        <f t="shared" si="0"/>
        <v>Norsk Tipping/Grasrot</v>
      </c>
      <c r="C13" s="26">
        <v>525.37</v>
      </c>
      <c r="D13" s="27">
        <v>1300</v>
      </c>
      <c r="E13" s="28">
        <f>R_3430</f>
        <v>1635.61</v>
      </c>
      <c r="F13" s="27">
        <v>500</v>
      </c>
      <c r="H13" s="25"/>
    </row>
    <row r="14" spans="1:9" ht="15.75" x14ac:dyDescent="0.25">
      <c r="A14" s="20">
        <v>3790</v>
      </c>
      <c r="B14" s="21" t="str">
        <f t="shared" si="0"/>
        <v>Diverse inntekter</v>
      </c>
      <c r="C14" s="26" t="s">
        <v>4</v>
      </c>
      <c r="D14" s="27"/>
      <c r="E14" s="28">
        <f>R_3790</f>
        <v>8501</v>
      </c>
      <c r="F14" s="27">
        <v>8000</v>
      </c>
      <c r="H14" s="25"/>
    </row>
    <row r="15" spans="1:9" ht="15.75" x14ac:dyDescent="0.25">
      <c r="A15" s="20">
        <v>8051</v>
      </c>
      <c r="B15" s="21" t="str">
        <f t="shared" si="0"/>
        <v>Renteinntekter</v>
      </c>
      <c r="C15" s="26">
        <v>1995.54</v>
      </c>
      <c r="D15" s="27">
        <v>3000</v>
      </c>
      <c r="E15" s="29">
        <f>R_8051</f>
        <v>1273.93</v>
      </c>
      <c r="F15" s="27">
        <v>2000</v>
      </c>
      <c r="H15" s="25"/>
    </row>
    <row r="16" spans="1:9" ht="16.5" thickBot="1" x14ac:dyDescent="0.3">
      <c r="A16" s="30" t="s">
        <v>5</v>
      </c>
      <c r="B16" s="31"/>
      <c r="C16" s="32">
        <f>SUM(C5:C15)</f>
        <v>198607.91</v>
      </c>
      <c r="D16" s="33">
        <f>SUM(D5:D15)</f>
        <v>210800</v>
      </c>
      <c r="E16" s="34">
        <f>S_Inntekt</f>
        <v>223382.53999999998</v>
      </c>
      <c r="F16" s="33">
        <f>SUM(F5:F15)</f>
        <v>215500</v>
      </c>
      <c r="I16" s="35"/>
    </row>
    <row r="17" spans="1:8" ht="15.75" x14ac:dyDescent="0.25">
      <c r="A17" s="36" t="s">
        <v>6</v>
      </c>
      <c r="B17" s="37"/>
      <c r="C17" s="38"/>
      <c r="D17" s="39"/>
      <c r="E17" s="40"/>
      <c r="F17" s="39"/>
    </row>
    <row r="18" spans="1:8" ht="15.75" x14ac:dyDescent="0.25">
      <c r="A18" s="20">
        <v>4200</v>
      </c>
      <c r="B18" s="21" t="str">
        <f t="shared" ref="B18:B33" si="1">VLOOKUP(A18,KontoPlan,2,FALSE)</f>
        <v>Kjøp varer</v>
      </c>
      <c r="C18" s="41" t="s">
        <v>4</v>
      </c>
      <c r="D18" s="23">
        <v>12000</v>
      </c>
      <c r="E18" s="24">
        <f>R_4200</f>
        <v>0</v>
      </c>
      <c r="F18" s="23"/>
      <c r="H18" s="25"/>
    </row>
    <row r="19" spans="1:8" ht="15.75" x14ac:dyDescent="0.25">
      <c r="A19" s="20">
        <v>6220</v>
      </c>
      <c r="B19" s="21" t="str">
        <f>VLOOKUP(A19,Konto_S_Plan,2,FALSE)</f>
        <v>Sum Turneringsledelse</v>
      </c>
      <c r="C19" s="42">
        <v>19346</v>
      </c>
      <c r="D19" s="27">
        <v>25000</v>
      </c>
      <c r="E19" s="28">
        <f>S_6220</f>
        <v>35778</v>
      </c>
      <c r="F19" s="27">
        <v>40000</v>
      </c>
      <c r="H19" s="25"/>
    </row>
    <row r="20" spans="1:8" ht="15.75" x14ac:dyDescent="0.25">
      <c r="A20" s="20">
        <v>6240</v>
      </c>
      <c r="B20" s="21" t="str">
        <f>VLOOKUP(A20,Konto_S_Plan,2,FALSE)</f>
        <v>Sum Premier</v>
      </c>
      <c r="C20" s="42">
        <v>15500</v>
      </c>
      <c r="D20" s="27">
        <v>15000</v>
      </c>
      <c r="E20" s="28">
        <f>S_6240</f>
        <v>13000</v>
      </c>
      <c r="F20" s="27">
        <v>15000</v>
      </c>
      <c r="H20" s="25"/>
    </row>
    <row r="21" spans="1:8" ht="15.75" x14ac:dyDescent="0.25">
      <c r="A21" s="20">
        <v>6260</v>
      </c>
      <c r="B21" s="21" t="str">
        <f>VLOOKUP(A21,Konto_S_Plan,2,FALSE)</f>
        <v>Sum Turneringer deltakelse</v>
      </c>
      <c r="C21" s="42">
        <v>123142</v>
      </c>
      <c r="D21" s="27">
        <v>100000</v>
      </c>
      <c r="E21" s="28">
        <f>S_6260</f>
        <v>82950</v>
      </c>
      <c r="F21" s="27">
        <v>90000</v>
      </c>
      <c r="H21" s="25"/>
    </row>
    <row r="22" spans="1:8" ht="15.75" x14ac:dyDescent="0.25">
      <c r="A22" s="20">
        <v>6285</v>
      </c>
      <c r="B22" s="21" t="str">
        <f t="shared" si="1"/>
        <v>Kurs arrangement</v>
      </c>
      <c r="C22" s="42" t="s">
        <v>4</v>
      </c>
      <c r="D22" s="27"/>
      <c r="E22" s="28">
        <f>D_6285</f>
        <v>4000</v>
      </c>
      <c r="F22" s="27">
        <v>4000</v>
      </c>
      <c r="H22" s="25"/>
    </row>
    <row r="23" spans="1:8" ht="15.75" x14ac:dyDescent="0.25">
      <c r="A23" s="20">
        <v>6300</v>
      </c>
      <c r="B23" s="21" t="str">
        <f>VLOOKUP(A23,Konto_S_Plan,2,FALSE)</f>
        <v>Sum Leie lokaler</v>
      </c>
      <c r="C23" s="42">
        <v>26318.5</v>
      </c>
      <c r="D23" s="27">
        <v>30000</v>
      </c>
      <c r="E23" s="28">
        <f>S_6300</f>
        <v>18319</v>
      </c>
      <c r="F23" s="27">
        <v>20000</v>
      </c>
      <c r="H23" s="25"/>
    </row>
    <row r="24" spans="1:8" ht="15.75" x14ac:dyDescent="0.25">
      <c r="A24" s="20">
        <v>6420</v>
      </c>
      <c r="B24" s="21" t="str">
        <f t="shared" si="1"/>
        <v>Data/programvare</v>
      </c>
      <c r="C24" s="42">
        <v>1368.75</v>
      </c>
      <c r="D24" s="27">
        <v>2000</v>
      </c>
      <c r="E24" s="28">
        <f>R_6420</f>
        <v>872.44</v>
      </c>
      <c r="F24" s="27">
        <v>2000</v>
      </c>
      <c r="H24" s="25" t="s">
        <v>4</v>
      </c>
    </row>
    <row r="25" spans="1:8" ht="15.75" x14ac:dyDescent="0.25">
      <c r="A25" s="20">
        <v>6560</v>
      </c>
      <c r="B25" s="21" t="str">
        <f t="shared" si="1"/>
        <v>Rekvisita</v>
      </c>
      <c r="C25" s="42" t="s">
        <v>4</v>
      </c>
      <c r="D25" s="27"/>
      <c r="E25" s="28">
        <f>R_6560</f>
        <v>0</v>
      </c>
      <c r="F25" s="27"/>
      <c r="H25" s="25"/>
    </row>
    <row r="26" spans="1:8" ht="15.75" x14ac:dyDescent="0.25">
      <c r="A26" s="20">
        <v>6860</v>
      </c>
      <c r="B26" s="21" t="str">
        <f t="shared" si="1"/>
        <v>Kurs deltakelse</v>
      </c>
      <c r="C26" s="42">
        <v>9823</v>
      </c>
      <c r="D26" s="27">
        <v>10000</v>
      </c>
      <c r="E26" s="28">
        <f>R_6860</f>
        <v>0</v>
      </c>
      <c r="F26" s="27"/>
      <c r="H26" s="25"/>
    </row>
    <row r="27" spans="1:8" ht="15.75" x14ac:dyDescent="0.25">
      <c r="A27" s="20">
        <v>6940</v>
      </c>
      <c r="B27" s="21" t="str">
        <f t="shared" si="1"/>
        <v>Gebyr/porto</v>
      </c>
      <c r="C27" s="42" t="s">
        <v>4</v>
      </c>
      <c r="D27" s="27"/>
      <c r="E27" s="28">
        <f>R_6940</f>
        <v>0</v>
      </c>
      <c r="F27" s="27"/>
      <c r="H27" s="25"/>
    </row>
    <row r="28" spans="1:8" ht="15.75" x14ac:dyDescent="0.25">
      <c r="A28" s="20">
        <v>7140</v>
      </c>
      <c r="B28" s="21" t="str">
        <f t="shared" si="1"/>
        <v>Forbundsreiser</v>
      </c>
      <c r="C28" s="42">
        <v>10594</v>
      </c>
      <c r="D28" s="27">
        <v>6000</v>
      </c>
      <c r="E28" s="28">
        <f>R_7140</f>
        <v>4377</v>
      </c>
      <c r="F28" s="27"/>
      <c r="H28" s="25"/>
    </row>
    <row r="29" spans="1:8" ht="15.75" x14ac:dyDescent="0.25">
      <c r="A29" s="20">
        <v>7420</v>
      </c>
      <c r="B29" s="21" t="str">
        <f t="shared" si="1"/>
        <v>Gave/oppmerksomheter</v>
      </c>
      <c r="C29" s="42">
        <v>5000</v>
      </c>
      <c r="D29" s="27">
        <v>4000</v>
      </c>
      <c r="E29" s="28">
        <f>R_7420</f>
        <v>6000</v>
      </c>
      <c r="F29" s="27">
        <v>8000</v>
      </c>
      <c r="H29" s="25"/>
    </row>
    <row r="30" spans="1:8" ht="15.75" x14ac:dyDescent="0.25">
      <c r="A30" s="20">
        <v>7711</v>
      </c>
      <c r="B30" s="21" t="str">
        <f t="shared" si="1"/>
        <v>Styreutgifter</v>
      </c>
      <c r="C30" s="42">
        <v>19201</v>
      </c>
      <c r="D30" s="27">
        <v>20000</v>
      </c>
      <c r="E30" s="28">
        <f>R_7711</f>
        <v>22090.1</v>
      </c>
      <c r="F30" s="27">
        <v>20000</v>
      </c>
      <c r="H30" s="25"/>
    </row>
    <row r="31" spans="1:8" ht="15.75" x14ac:dyDescent="0.25">
      <c r="A31" s="20">
        <v>7720</v>
      </c>
      <c r="B31" s="21" t="str">
        <f t="shared" si="1"/>
        <v>Krets/klubbleder samling</v>
      </c>
      <c r="C31" s="42">
        <v>1900</v>
      </c>
      <c r="D31" s="27"/>
      <c r="E31" s="28">
        <f>R_7720</f>
        <v>4032.4</v>
      </c>
      <c r="F31" s="27">
        <v>8000</v>
      </c>
      <c r="H31" s="25"/>
    </row>
    <row r="32" spans="1:8" ht="15.75" x14ac:dyDescent="0.25">
      <c r="A32" s="20">
        <v>7770</v>
      </c>
      <c r="B32" s="21" t="str">
        <f t="shared" si="1"/>
        <v>Omkostninger bank</v>
      </c>
      <c r="C32" s="42">
        <v>1517.5</v>
      </c>
      <c r="D32" s="27">
        <v>2000</v>
      </c>
      <c r="E32" s="28">
        <f>R_7770</f>
        <v>605.5</v>
      </c>
      <c r="F32" s="27">
        <v>1000</v>
      </c>
      <c r="H32" s="25"/>
    </row>
    <row r="33" spans="1:8" ht="15.75" x14ac:dyDescent="0.25">
      <c r="A33" s="20">
        <v>7790</v>
      </c>
      <c r="B33" s="21" t="str">
        <f t="shared" si="1"/>
        <v>Diverse utgifter</v>
      </c>
      <c r="C33" s="42">
        <v>18220.8</v>
      </c>
      <c r="D33" s="27">
        <v>20000</v>
      </c>
      <c r="E33" s="29">
        <f>R_7790</f>
        <v>18452</v>
      </c>
      <c r="F33" s="27">
        <v>20000</v>
      </c>
      <c r="H33" s="25"/>
    </row>
    <row r="34" spans="1:8" ht="16.5" thickBot="1" x14ac:dyDescent="0.3">
      <c r="A34" s="30" t="s">
        <v>7</v>
      </c>
      <c r="B34" s="31"/>
      <c r="C34" s="32">
        <f>SUM(C18:C33)</f>
        <v>251931.55</v>
      </c>
      <c r="D34" s="33">
        <f t="shared" ref="D34:F34" si="2">SUM(D18:D33)</f>
        <v>246000</v>
      </c>
      <c r="E34" s="34">
        <f>S_Utgift</f>
        <v>210476.44</v>
      </c>
      <c r="F34" s="33">
        <f t="shared" si="2"/>
        <v>228000</v>
      </c>
    </row>
    <row r="35" spans="1:8" ht="16.5" thickBot="1" x14ac:dyDescent="0.3">
      <c r="A35" s="20"/>
      <c r="B35" s="43"/>
      <c r="C35" s="44"/>
      <c r="D35" s="45"/>
      <c r="E35" s="46"/>
      <c r="F35" s="45"/>
    </row>
    <row r="36" spans="1:8" ht="16.5" thickBot="1" x14ac:dyDescent="0.3">
      <c r="A36" s="47">
        <v>8800</v>
      </c>
      <c r="B36" s="48" t="str">
        <f>VLOOKUP(A36,Konto_S_Plan,2,FALSE)</f>
        <v>Resultat</v>
      </c>
      <c r="C36" s="49">
        <f>C16-C34</f>
        <v>-53323.639999999985</v>
      </c>
      <c r="D36" s="50">
        <f>SUM(D16-D34)</f>
        <v>-35200</v>
      </c>
      <c r="E36" s="51">
        <f>S_8800</f>
        <v>12906.099999999977</v>
      </c>
      <c r="F36" s="50">
        <f>SUM(F16-F34)</f>
        <v>-12500</v>
      </c>
    </row>
    <row r="38" spans="1:8" ht="20.25" x14ac:dyDescent="0.3">
      <c r="B38" s="52"/>
      <c r="C38" s="53"/>
      <c r="E38" s="53"/>
    </row>
    <row r="39" spans="1:8" ht="20.25" x14ac:dyDescent="0.3">
      <c r="B39" s="54"/>
      <c r="C39" s="53"/>
      <c r="E39" s="53"/>
    </row>
    <row r="40" spans="1:8" ht="15.75" x14ac:dyDescent="0.25">
      <c r="A40" s="45"/>
    </row>
    <row r="41" spans="1:8" ht="15.75" x14ac:dyDescent="0.25">
      <c r="A41" s="55"/>
      <c r="B41" s="21"/>
      <c r="C41" s="56"/>
      <c r="E41" s="56"/>
    </row>
    <row r="42" spans="1:8" ht="15.75" x14ac:dyDescent="0.25">
      <c r="A42" s="55"/>
      <c r="B42" s="21"/>
      <c r="C42" s="56"/>
      <c r="E42" s="56"/>
    </row>
    <row r="43" spans="1:8" ht="15.75" x14ac:dyDescent="0.25">
      <c r="A43" s="55"/>
      <c r="B43" s="21"/>
      <c r="C43" s="56"/>
      <c r="E43" s="56"/>
    </row>
    <row r="44" spans="1:8" ht="15.75" x14ac:dyDescent="0.25">
      <c r="A44" s="43"/>
      <c r="B44" s="21"/>
      <c r="C44" s="46"/>
      <c r="E44" s="46"/>
    </row>
    <row r="46" spans="1:8" ht="15.75" x14ac:dyDescent="0.25">
      <c r="A46" s="43"/>
      <c r="B46" s="21"/>
    </row>
    <row r="47" spans="1:8" ht="15.75" x14ac:dyDescent="0.25">
      <c r="A47" s="55"/>
      <c r="B47" s="21"/>
      <c r="C47" s="56"/>
      <c r="E47" s="56"/>
    </row>
    <row r="48" spans="1:8" ht="15.75" x14ac:dyDescent="0.25">
      <c r="A48" s="55"/>
      <c r="B48" s="21"/>
      <c r="C48" s="56"/>
      <c r="E48" s="56"/>
    </row>
    <row r="49" spans="1:5" ht="15.75" x14ac:dyDescent="0.25">
      <c r="A49" s="55"/>
      <c r="B49" s="21"/>
      <c r="C49" s="56"/>
      <c r="E49" s="56"/>
    </row>
    <row r="50" spans="1:5" ht="15.75" x14ac:dyDescent="0.25">
      <c r="A50" s="57"/>
      <c r="B50" s="45"/>
      <c r="C50" s="46"/>
      <c r="E50" s="46"/>
    </row>
    <row r="51" spans="1:5" ht="15.75" x14ac:dyDescent="0.25">
      <c r="C51" s="46"/>
    </row>
    <row r="52" spans="1:5" ht="15.75" x14ac:dyDescent="0.25">
      <c r="C52" s="46"/>
      <c r="E52" s="46"/>
    </row>
  </sheetData>
  <sheetProtection formatColumns="0" selectLockedCells="1" selectUnlockedCells="1"/>
  <mergeCells count="4">
    <mergeCell ref="A1:F1"/>
    <mergeCell ref="A3:B3"/>
    <mergeCell ref="A16:B16"/>
    <mergeCell ref="A34:B34"/>
  </mergeCells>
  <pageMargins left="0.70000000000000007" right="0.70000000000000007" top="0.75" bottom="0.75" header="0.30000000000000004" footer="0.30000000000000004"/>
  <pageSetup paperSize="9" scale="7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Resultat</vt:lpstr>
      <vt:lpstr>X_Inntekt</vt:lpstr>
      <vt:lpstr>X_Utgift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Pran</dc:creator>
  <cp:lastModifiedBy>Sven Pran</cp:lastModifiedBy>
  <dcterms:created xsi:type="dcterms:W3CDTF">2019-02-24T20:07:59Z</dcterms:created>
  <dcterms:modified xsi:type="dcterms:W3CDTF">2019-02-24T20:24:06Z</dcterms:modified>
</cp:coreProperties>
</file>